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580"/>
  </bookViews>
  <sheets>
    <sheet name="РАСПРЕД НА 2 ЧТЕНИЕ" sheetId="1" r:id="rId1"/>
  </sheets>
  <externalReferences>
    <externalReference r:id="rId2"/>
    <externalReference r:id="rId3"/>
    <externalReference r:id="rId4"/>
    <externalReference r:id="rId5"/>
  </externalReferences>
  <definedNames>
    <definedName name="Foot0">[1]Культура!#REF!</definedName>
    <definedName name="Foot1">[1]Культура!#REF!</definedName>
    <definedName name="Foot2">[1]Культура!#REF!</definedName>
    <definedName name="Foot3">[1]Культура!#REF!</definedName>
    <definedName name="Foot4">[1]Культура!#REF!</definedName>
    <definedName name="Footer">#REF!</definedName>
    <definedName name="В11">#REF!</definedName>
    <definedName name="Вред_всего">[1]Культура!#REF!</definedName>
    <definedName name="Вред_итого">[1]Культура!#REF!</definedName>
    <definedName name="Вред1">[1]Культура!#REF!</definedName>
    <definedName name="Вред2">[1]Культура!#REF!</definedName>
    <definedName name="Дата_составления">[1]Культура!#REF!</definedName>
    <definedName name="Доп_свед">[1]Культура!#REF!</definedName>
    <definedName name="Другие">[1]Культура!#REF!</definedName>
    <definedName name="Другие_всего">[1]Культура!#REF!</definedName>
    <definedName name="Другие_итого">[1]Культура!#REF!</definedName>
    <definedName name="_xlnm.Print_Titles" localSheetId="0">'РАСПРЕД НА 2 ЧТЕНИЕ'!$5:$5</definedName>
    <definedName name="Ит_Имя">[1]Культура!#REF!</definedName>
    <definedName name="Ит_Имя2">[1]Культура!#REF!</definedName>
    <definedName name="Ит_ИТОГО">[1]Культура!#REF!</definedName>
    <definedName name="Ит_Объем">[1]Культура!#REF!</definedName>
    <definedName name="Ит_Ставка">[1]Культура!#REF!</definedName>
    <definedName name="Ит_Сум_ФОТ">[1]Культура!#REF!</definedName>
    <definedName name="ИТОГО">[1]Культура!#REF!</definedName>
    <definedName name="ИТОГО_всего">[1]Культура!#REF!</definedName>
    <definedName name="ИТОГО_итого">[1]Культура!#REF!</definedName>
    <definedName name="Категория_ФОТ">'[3]свод МКУ и мет и хоз гр'!#REF!</definedName>
    <definedName name="Категория_ФОТ1">[1]Культура!#REF!</definedName>
    <definedName name="КатФЗП">#REF!</definedName>
    <definedName name="КвКат">[1]Культура!#REF!</definedName>
    <definedName name="Коэфф">[1]Культура!#REF!</definedName>
    <definedName name="Коэфф_">'[3]свод МКУ и мет и хоз гр'!#REF!</definedName>
    <definedName name="Наименование_должности">[1]Культура!#REF!</definedName>
    <definedName name="Непр_всего">[1]Культура!#REF!</definedName>
    <definedName name="Непр_итого">[1]Культура!#REF!</definedName>
    <definedName name="Непр1">[1]Культура!#REF!</definedName>
    <definedName name="Непр2">[1]Культура!#REF!</definedName>
    <definedName name="Ном_Подр">[1]Культура!#REF!</definedName>
    <definedName name="_xlnm.Print_Area">#REF!</definedName>
    <definedName name="Образ">[1]Культура!#REF!</definedName>
    <definedName name="Объем">[1]Культура!#REF!</definedName>
    <definedName name="Объем_всего">[1]Культура!#REF!</definedName>
    <definedName name="Объем_итого">[1]Культура!#REF!</definedName>
    <definedName name="Оклад">[1]Культура!#REF!</definedName>
    <definedName name="Оклад_всего">[1]Культура!#REF!</definedName>
    <definedName name="Оклад_итого">[1]Культура!#REF!</definedName>
    <definedName name="Организация">'[3]свод МКУ и мет и хоз гр'!#REF!</definedName>
    <definedName name="п">#REF!</definedName>
    <definedName name="поваорява">'[4]НСОт Культ'!#REF!</definedName>
    <definedName name="Подзаголовок">#REF!</definedName>
    <definedName name="Подр">#REF!</definedName>
    <definedName name="Подразделение">[1]Культура!#REF!</definedName>
    <definedName name="Подразделение_итого">[1]Культура!#REF!</definedName>
    <definedName name="поплрп">'[4]НСОт Культ'!#REF!</definedName>
    <definedName name="ПочЗв">[1]Культура!#REF!</definedName>
    <definedName name="с">'[4]НСОт Культ'!#REF!</definedName>
    <definedName name="сптт">'[4]НСОт Культ'!#REF!</definedName>
    <definedName name="Ставка">[1]Культура!#REF!</definedName>
    <definedName name="Ставка_всего">[1]Культура!#REF!</definedName>
    <definedName name="Ставка_итого">[1]Культура!#REF!</definedName>
    <definedName name="Ставки">[1]Культура!#REF!</definedName>
    <definedName name="Стаж">[1]Культура!#REF!</definedName>
    <definedName name="Стаж_">[1]Культура!#REF!</definedName>
    <definedName name="Сум_ФОТ">[1]Культура!#REF!</definedName>
    <definedName name="ТабНом">[1]Культура!#REF!</definedName>
    <definedName name="УчСт">[1]Культура!#REF!</definedName>
    <definedName name="ФИО">[1]Культура!#REF!</definedName>
    <definedName name="ФС">#REF!</definedName>
    <definedName name="Функции_контроля">#REF!</definedName>
    <definedName name="Часы_всего">[1]Культура!#REF!</definedName>
    <definedName name="Часы_итого">[1]Культура!#REF!</definedName>
  </definedNames>
  <calcPr calcId="144525"/>
</workbook>
</file>

<file path=xl/calcChain.xml><?xml version="1.0" encoding="utf-8"?>
<calcChain xmlns="http://schemas.openxmlformats.org/spreadsheetml/2006/main">
  <c r="S156" i="1" l="1"/>
  <c r="Q156" i="1"/>
  <c r="N156" i="1"/>
  <c r="H156" i="1"/>
  <c r="G156" i="1"/>
  <c r="F156" i="1"/>
  <c r="E156" i="1"/>
  <c r="R155" i="1"/>
  <c r="J155" i="1" s="1"/>
  <c r="Y154" i="1"/>
  <c r="J154" i="1"/>
  <c r="R153" i="1"/>
  <c r="J153" i="1" s="1"/>
  <c r="R152" i="1"/>
  <c r="J152" i="1" s="1"/>
  <c r="J151" i="1"/>
  <c r="R150" i="1"/>
  <c r="J150" i="1" s="1"/>
  <c r="J149" i="1"/>
  <c r="J148" i="1"/>
  <c r="J147" i="1"/>
  <c r="J146" i="1"/>
  <c r="J145" i="1"/>
  <c r="AD144" i="1"/>
  <c r="Z144" i="1"/>
  <c r="J143" i="1"/>
  <c r="AD142" i="1"/>
  <c r="Z142" i="1"/>
  <c r="AB141" i="1"/>
  <c r="J141" i="1" s="1"/>
  <c r="AB140" i="1"/>
  <c r="J140" i="1" s="1"/>
  <c r="AA139" i="1"/>
  <c r="J139" i="1" s="1"/>
  <c r="J138" i="1"/>
  <c r="W137" i="1"/>
  <c r="W156" i="1" s="1"/>
  <c r="J136" i="1"/>
  <c r="J135" i="1"/>
  <c r="J134" i="1"/>
  <c r="AB133" i="1"/>
  <c r="P133" i="1"/>
  <c r="O132" i="1"/>
  <c r="O156" i="1" s="1"/>
  <c r="AB131" i="1"/>
  <c r="J130" i="1"/>
  <c r="AD129" i="1"/>
  <c r="J129" i="1" s="1"/>
  <c r="AA128" i="1"/>
  <c r="Z128" i="1"/>
  <c r="AC127" i="1"/>
  <c r="AC156" i="1" s="1"/>
  <c r="AC157" i="1" s="1"/>
  <c r="AA126" i="1"/>
  <c r="R126" i="1"/>
  <c r="J125" i="1"/>
  <c r="X124" i="1"/>
  <c r="T124" i="1"/>
  <c r="V123" i="1"/>
  <c r="V156" i="1" s="1"/>
  <c r="J123" i="1"/>
  <c r="U122" i="1"/>
  <c r="J122" i="1" s="1"/>
  <c r="J121" i="1"/>
  <c r="AD120" i="1"/>
  <c r="AA120" i="1"/>
  <c r="U120" i="1"/>
  <c r="U156" i="1" s="1"/>
  <c r="T120" i="1"/>
  <c r="M120" i="1"/>
  <c r="AD119" i="1"/>
  <c r="X119" i="1"/>
  <c r="P119" i="1"/>
  <c r="M119" i="1"/>
  <c r="L119" i="1"/>
  <c r="K119" i="1"/>
  <c r="K156" i="1" s="1"/>
  <c r="Y118" i="1"/>
  <c r="J117" i="1"/>
  <c r="Y116" i="1"/>
  <c r="J116" i="1" s="1"/>
  <c r="M115" i="1"/>
  <c r="J115" i="1" s="1"/>
  <c r="M114" i="1"/>
  <c r="J114" i="1" s="1"/>
  <c r="D114" i="1"/>
  <c r="D156" i="1" s="1"/>
  <c r="AA113" i="1"/>
  <c r="J113" i="1" s="1"/>
  <c r="J112" i="1"/>
  <c r="J111" i="1"/>
  <c r="X110" i="1"/>
  <c r="J110" i="1" s="1"/>
  <c r="T109" i="1"/>
  <c r="M109" i="1"/>
  <c r="Y108" i="1"/>
  <c r="X108" i="1"/>
  <c r="J107" i="1"/>
  <c r="J106" i="1"/>
  <c r="J105" i="1"/>
  <c r="J104" i="1"/>
  <c r="J103" i="1"/>
  <c r="AA102" i="1"/>
  <c r="J102" i="1" s="1"/>
  <c r="X101" i="1"/>
  <c r="M101" i="1"/>
  <c r="L101" i="1"/>
  <c r="AA100" i="1"/>
  <c r="J100" i="1" s="1"/>
  <c r="AD99" i="1"/>
  <c r="AD156" i="1" s="1"/>
  <c r="AA99" i="1"/>
  <c r="J98" i="1"/>
  <c r="J97" i="1"/>
  <c r="J96" i="1"/>
  <c r="I96" i="1"/>
  <c r="AC95" i="1"/>
  <c r="AB95" i="1"/>
  <c r="Y95" i="1"/>
  <c r="H95" i="1"/>
  <c r="G95" i="1"/>
  <c r="E95" i="1"/>
  <c r="E157" i="1" s="1"/>
  <c r="J94" i="1"/>
  <c r="J93" i="1"/>
  <c r="J92" i="1"/>
  <c r="M91" i="1"/>
  <c r="L91" i="1"/>
  <c r="J90" i="1"/>
  <c r="J89" i="1"/>
  <c r="X88" i="1"/>
  <c r="J88" i="1" s="1"/>
  <c r="J87" i="1"/>
  <c r="J86" i="1"/>
  <c r="J85" i="1"/>
  <c r="J84" i="1"/>
  <c r="R83" i="1"/>
  <c r="J83" i="1" s="1"/>
  <c r="J82" i="1"/>
  <c r="J81" i="1"/>
  <c r="J80" i="1"/>
  <c r="R79" i="1"/>
  <c r="J79" i="1" s="1"/>
  <c r="R78" i="1"/>
  <c r="J78" i="1" s="1"/>
  <c r="J77" i="1"/>
  <c r="J76" i="1"/>
  <c r="R75" i="1"/>
  <c r="Q75" i="1"/>
  <c r="J74" i="1"/>
  <c r="R73" i="1"/>
  <c r="J73" i="1" s="1"/>
  <c r="J72" i="1"/>
  <c r="R71" i="1"/>
  <c r="J71" i="1" s="1"/>
  <c r="J70" i="1"/>
  <c r="R69" i="1"/>
  <c r="J69" i="1" s="1"/>
  <c r="J68" i="1"/>
  <c r="J67" i="1"/>
  <c r="J66" i="1"/>
  <c r="J65" i="1"/>
  <c r="J64" i="1"/>
  <c r="J63" i="1"/>
  <c r="J62" i="1"/>
  <c r="J61" i="1"/>
  <c r="J60" i="1"/>
  <c r="J59" i="1"/>
  <c r="M58" i="1"/>
  <c r="J58" i="1" s="1"/>
  <c r="J57" i="1"/>
  <c r="J56" i="1"/>
  <c r="F56" i="1"/>
  <c r="AD55" i="1"/>
  <c r="X55" i="1"/>
  <c r="M55" i="1"/>
  <c r="L55" i="1"/>
  <c r="J54" i="1"/>
  <c r="J53" i="1"/>
  <c r="X52" i="1"/>
  <c r="V52" i="1"/>
  <c r="U52" i="1"/>
  <c r="K52" i="1"/>
  <c r="F52" i="1"/>
  <c r="F95" i="1" s="1"/>
  <c r="F157" i="1" s="1"/>
  <c r="J51" i="1"/>
  <c r="O50" i="1"/>
  <c r="J50" i="1"/>
  <c r="J49" i="1"/>
  <c r="J48" i="1"/>
  <c r="Q47" i="1"/>
  <c r="K47" i="1"/>
  <c r="J47" i="1" s="1"/>
  <c r="J46" i="1"/>
  <c r="O45" i="1"/>
  <c r="J45" i="1"/>
  <c r="X44" i="1"/>
  <c r="T44" i="1"/>
  <c r="K44" i="1"/>
  <c r="P43" i="1"/>
  <c r="J43" i="1" s="1"/>
  <c r="M42" i="1"/>
  <c r="J42" i="1" s="1"/>
  <c r="R41" i="1"/>
  <c r="J41" i="1" s="1"/>
  <c r="J40" i="1"/>
  <c r="M39" i="1"/>
  <c r="J39" i="1" s="1"/>
  <c r="J38" i="1"/>
  <c r="M37" i="1"/>
  <c r="J37" i="1" s="1"/>
  <c r="J36" i="1"/>
  <c r="P35" i="1"/>
  <c r="M35" i="1"/>
  <c r="L35" i="1"/>
  <c r="J34" i="1"/>
  <c r="AA33" i="1"/>
  <c r="R33" i="1"/>
  <c r="J32" i="1"/>
  <c r="V31" i="1"/>
  <c r="J31" i="1"/>
  <c r="AD30" i="1"/>
  <c r="Z30" i="1"/>
  <c r="M30" i="1"/>
  <c r="AD29" i="1"/>
  <c r="AD95" i="1" s="1"/>
  <c r="AA29" i="1"/>
  <c r="Z29" i="1"/>
  <c r="P29" i="1"/>
  <c r="O29" i="1"/>
  <c r="O95" i="1" s="1"/>
  <c r="J28" i="1"/>
  <c r="Z27" i="1"/>
  <c r="X27" i="1"/>
  <c r="W27" i="1"/>
  <c r="W95" i="1" s="1"/>
  <c r="V27" i="1"/>
  <c r="U27" i="1"/>
  <c r="T27" i="1"/>
  <c r="S27" i="1"/>
  <c r="S95" i="1" s="1"/>
  <c r="S157" i="1" s="1"/>
  <c r="R27" i="1"/>
  <c r="P27" i="1"/>
  <c r="N27" i="1"/>
  <c r="M27" i="1"/>
  <c r="L27" i="1"/>
  <c r="K27" i="1"/>
  <c r="AA26" i="1"/>
  <c r="Z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5" i="1"/>
  <c r="AD24" i="1"/>
  <c r="Z24" i="1"/>
  <c r="W24" i="1"/>
  <c r="U24" i="1"/>
  <c r="S24" i="1"/>
  <c r="R24" i="1"/>
  <c r="P24" i="1"/>
  <c r="O24" i="1"/>
  <c r="K24" i="1"/>
  <c r="AD23" i="1"/>
  <c r="AA23" i="1"/>
  <c r="Z23" i="1"/>
  <c r="U23" i="1"/>
  <c r="T23" i="1"/>
  <c r="P23" i="1"/>
  <c r="O23" i="1"/>
  <c r="N23" i="1"/>
  <c r="M23" i="1"/>
  <c r="L23" i="1"/>
  <c r="K23" i="1"/>
  <c r="M22" i="1"/>
  <c r="L22" i="1"/>
  <c r="AD21" i="1"/>
  <c r="Z21" i="1"/>
  <c r="W21" i="1"/>
  <c r="U21" i="1"/>
  <c r="T21" i="1"/>
  <c r="R21" i="1"/>
  <c r="Q21" i="1"/>
  <c r="M21" i="1"/>
  <c r="K21" i="1"/>
  <c r="Z20" i="1"/>
  <c r="W20" i="1"/>
  <c r="U20" i="1"/>
  <c r="T20" i="1"/>
  <c r="R20" i="1"/>
  <c r="Q20" i="1"/>
  <c r="O20" i="1"/>
  <c r="N20" i="1"/>
  <c r="M20" i="1"/>
  <c r="D8" i="1"/>
  <c r="D95" i="1" s="1"/>
  <c r="D157" i="1" s="1"/>
  <c r="AD7" i="1"/>
  <c r="AC7" i="1"/>
  <c r="AB7" i="1"/>
  <c r="AA7" i="1"/>
  <c r="Z7" i="1"/>
  <c r="Y7" i="1"/>
  <c r="X7" i="1"/>
  <c r="W7" i="1"/>
  <c r="U7" i="1"/>
  <c r="T7" i="1"/>
  <c r="S7" i="1"/>
  <c r="R7" i="1"/>
  <c r="Q7" i="1"/>
  <c r="P7" i="1"/>
  <c r="O7" i="1"/>
  <c r="N7" i="1"/>
  <c r="M7" i="1"/>
  <c r="L7" i="1"/>
  <c r="K7" i="1"/>
  <c r="J7" i="1"/>
  <c r="G6" i="1"/>
  <c r="J91" i="1" l="1"/>
  <c r="J21" i="1"/>
  <c r="T95" i="1"/>
  <c r="X95" i="1"/>
  <c r="P95" i="1"/>
  <c r="U95" i="1"/>
  <c r="J35" i="1"/>
  <c r="J33" i="1"/>
  <c r="J55" i="1"/>
  <c r="J101" i="1"/>
  <c r="T156" i="1"/>
  <c r="T157" i="1" s="1"/>
  <c r="J128" i="1"/>
  <c r="J132" i="1"/>
  <c r="J99" i="1"/>
  <c r="J108" i="1"/>
  <c r="J120" i="1"/>
  <c r="J124" i="1"/>
  <c r="P156" i="1"/>
  <c r="M95" i="1"/>
  <c r="J20" i="1"/>
  <c r="J23" i="1"/>
  <c r="J119" i="1"/>
  <c r="N95" i="1"/>
  <c r="N157" i="1" s="1"/>
  <c r="Z95" i="1"/>
  <c r="J52" i="1"/>
  <c r="J24" i="1"/>
  <c r="Q95" i="1"/>
  <c r="Q157" i="1" s="1"/>
  <c r="R95" i="1"/>
  <c r="V95" i="1"/>
  <c r="AA95" i="1"/>
  <c r="J44" i="1"/>
  <c r="J75" i="1"/>
  <c r="Y156" i="1"/>
  <c r="Y157" i="1" s="1"/>
  <c r="R156" i="1"/>
  <c r="Z156" i="1"/>
  <c r="AB156" i="1"/>
  <c r="AB157" i="1" s="1"/>
  <c r="J137" i="1"/>
  <c r="J142" i="1"/>
  <c r="M156" i="1"/>
  <c r="M157" i="1" s="1"/>
  <c r="H157" i="1"/>
  <c r="J26" i="1"/>
  <c r="I27" i="1" s="1"/>
  <c r="J27" i="1"/>
  <c r="U157" i="1"/>
  <c r="L95" i="1"/>
  <c r="K95" i="1"/>
  <c r="K157" i="1" s="1"/>
  <c r="J30" i="1"/>
  <c r="X156" i="1"/>
  <c r="X157" i="1" s="1"/>
  <c r="J144" i="1"/>
  <c r="V157" i="1"/>
  <c r="W157" i="1"/>
  <c r="AD157" i="1"/>
  <c r="O157" i="1"/>
  <c r="P157" i="1"/>
  <c r="J109" i="1"/>
  <c r="J127" i="1"/>
  <c r="J131" i="1"/>
  <c r="J133" i="1"/>
  <c r="AA156" i="1"/>
  <c r="J29" i="1"/>
  <c r="J118" i="1"/>
  <c r="J126" i="1"/>
  <c r="L156" i="1"/>
  <c r="J95" i="1" l="1"/>
  <c r="R157" i="1"/>
  <c r="Z157" i="1"/>
  <c r="L157" i="1"/>
  <c r="AA157" i="1"/>
  <c r="J156" i="1"/>
  <c r="J157" i="1" s="1"/>
  <c r="J158" i="1"/>
</calcChain>
</file>

<file path=xl/sharedStrings.xml><?xml version="1.0" encoding="utf-8"?>
<sst xmlns="http://schemas.openxmlformats.org/spreadsheetml/2006/main" count="193" uniqueCount="191">
  <si>
    <t>Приложение 1 к пояснительной записке к решению  "О бюджете муниципального образования "Онгудайский район" на 2022 год и на плановый период 2023 и 2024 годов</t>
  </si>
  <si>
    <t xml:space="preserve">Распределение средств дотации на выравнивание уровня бюджетной обеспеченности, 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и налоговых и неналоговых доходов  доходов бюджета муниципального образования «Онгудайский район» по направлениям расходов  в разрезе главных распорядителей средств бюджета и муниципальных учреждений 
</t>
  </si>
  <si>
    <t>№№</t>
  </si>
  <si>
    <t xml:space="preserve">Наименование </t>
  </si>
  <si>
    <t>ЭКР</t>
  </si>
  <si>
    <t>2015 году</t>
  </si>
  <si>
    <t>в 2016г</t>
  </si>
  <si>
    <t>2017г</t>
  </si>
  <si>
    <t>ВСЕГО на 2018г.</t>
  </si>
  <si>
    <t>ВСЕГО на 2019г.</t>
  </si>
  <si>
    <t>ВСЕГО на 2020г.</t>
  </si>
  <si>
    <t>ВСЕГО на 2022г.</t>
  </si>
  <si>
    <t>РАЙОНО (МКУ , деят-сть ГРБС)</t>
  </si>
  <si>
    <t>СОДЕРЖАНИЕ ДДУ</t>
  </si>
  <si>
    <t>СОДЕРЖАНИЕ ОУ</t>
  </si>
  <si>
    <t>РайОО  управление</t>
  </si>
  <si>
    <t xml:space="preserve"> БУ ЦДТ</t>
  </si>
  <si>
    <t xml:space="preserve"> АУ ДЮСШ</t>
  </si>
  <si>
    <t>Управл. фин.</t>
  </si>
  <si>
    <t>Администрация района, совет депутатов , ксп</t>
  </si>
  <si>
    <t xml:space="preserve"> АУ  "Ажуда"</t>
  </si>
  <si>
    <t xml:space="preserve"> МКУ  по обеспеч деят-ти админ -ции района и ОКС</t>
  </si>
  <si>
    <t>МКУ ГОЧС и ЕДДС</t>
  </si>
  <si>
    <t>МКУ "Онгудайводснаб"</t>
  </si>
  <si>
    <t>Культура управл.</t>
  </si>
  <si>
    <t>МКУ по обеспечению деят-ти культуры</t>
  </si>
  <si>
    <t>Совет ветеранов</t>
  </si>
  <si>
    <t>Культура БУ ОРКДЦ</t>
  </si>
  <si>
    <t xml:space="preserve">Культура БУ ОЦМБ </t>
  </si>
  <si>
    <t>спорт (взрослый)</t>
  </si>
  <si>
    <t xml:space="preserve"> молодежная политика</t>
  </si>
  <si>
    <t xml:space="preserve"> АУ ДШИ</t>
  </si>
  <si>
    <t>Расходы за счет дотации из респ-го бюджета :</t>
  </si>
  <si>
    <t>ФОТ Мун район</t>
  </si>
  <si>
    <t xml:space="preserve">ФОТ  с начислениями на 2019 г  </t>
  </si>
  <si>
    <t xml:space="preserve">Начисления ФОТ на 2020 г  </t>
  </si>
  <si>
    <t>Повышение на 4,3% "неуказным" категориям раотников</t>
  </si>
  <si>
    <t>Реализация Указов на уровне не ниже предыдущего года</t>
  </si>
  <si>
    <t>Повышение на 4% "неуказным" категориям раотников ( с 1.01.2018г в 2019 г справочо)</t>
  </si>
  <si>
    <t>211,            213</t>
  </si>
  <si>
    <t>МРОТ до 9489 рублей (13284,6)</t>
  </si>
  <si>
    <t>211      ,213</t>
  </si>
  <si>
    <t>МРОТ до 11 163 рублей (15628,2)(2343,6)</t>
  </si>
  <si>
    <t>212      ,213</t>
  </si>
  <si>
    <t>МРОТ до 11 280 рублей (15792) 163,8</t>
  </si>
  <si>
    <t>213      ,213</t>
  </si>
  <si>
    <t>Софинансирование к субсидии на МРОТ 2%</t>
  </si>
  <si>
    <t>Софинансирование к субсидии на ежемесячн.надб. к ФОТ мол.спец.2%</t>
  </si>
  <si>
    <t>СПРАВОЧНО, кроме того: МРОТ, Указы Сельским поселениям</t>
  </si>
  <si>
    <t>2938 для  ведомствстр</t>
  </si>
  <si>
    <t>ФОТ без субсидии</t>
  </si>
  <si>
    <t>в т.ч. Софинанс. молспец и МРОТ</t>
  </si>
  <si>
    <t>ФОТ 211,213 на 01.12.2020г</t>
  </si>
  <si>
    <t xml:space="preserve">2020год </t>
  </si>
  <si>
    <t>ФОТ с начислениями с учетом субсидии на МРОТ</t>
  </si>
  <si>
    <t>На минус МРОТ субс 17580,2</t>
  </si>
  <si>
    <t>ФОТ с начислениями с учетом субсидии на МРОТ 2022 (19446 руб)</t>
  </si>
  <si>
    <t>в том числе ФОТ с начисл на МРОТ (потребность)</t>
  </si>
  <si>
    <t xml:space="preserve"> </t>
  </si>
  <si>
    <t>2938 для ведомств.</t>
  </si>
  <si>
    <t>в том числе ФОТ с начисл  на Указы, доп образование, культура</t>
  </si>
  <si>
    <t xml:space="preserve"> Электроэнергия </t>
  </si>
  <si>
    <t>Электроэнергия водобашен (30 скважин по району)</t>
  </si>
  <si>
    <t>Электроэнергия  уличное освещение</t>
  </si>
  <si>
    <t xml:space="preserve">Теплоснабжение   оплата  технологических нужд </t>
  </si>
  <si>
    <t>Водоснабжение</t>
  </si>
  <si>
    <t xml:space="preserve">Теплосчетчики обслуживание </t>
  </si>
  <si>
    <t xml:space="preserve">Вывозка  нечистот (канализация) </t>
  </si>
  <si>
    <t>Уголь ,5100 р</t>
  </si>
  <si>
    <t>Дрова  ,1800 р</t>
  </si>
  <si>
    <t xml:space="preserve">Продукты питания </t>
  </si>
  <si>
    <t>Медикаменты</t>
  </si>
  <si>
    <t>Софинансирование к субсидиям  ( в т.ч.на жилье молодых семей-100 т.р.), кроме МРОТ , всего</t>
  </si>
  <si>
    <t>ГСМ на подвоз детей  ( по району , по Онгудаю)</t>
  </si>
  <si>
    <t>запчасти на автобусы школьные</t>
  </si>
  <si>
    <t>запчасти на служ.авто, газель культ</t>
  </si>
  <si>
    <t>Услуги связи: абон плата, перегов"8", конверты, марки, услуги спец. связи</t>
  </si>
  <si>
    <t>Услуги интернет</t>
  </si>
  <si>
    <t>Услуги АСБУ "Парус" , "Криста", "РИК", "Смета", ПТК СОТО, СБИС, СВОД СМАРТ, сертификация услуг и персонала, антивирус, консультант</t>
  </si>
  <si>
    <t>на прямые каналы телефонной связи с ЕДДС соседних районов и ЦУКС МЧС РФ по РА</t>
  </si>
  <si>
    <t>Изготовление ЭЦП , ключей</t>
  </si>
  <si>
    <t>Обслуживание офиц.сайта Администрации, отделов, мун. учреждений</t>
  </si>
  <si>
    <t>Проект "Создание Сводного каталога РА"(система автоматизации библ. Ирбис-64"</t>
  </si>
  <si>
    <t>ГСМ служебные расходы, на мероприятия, диз топливо,масло</t>
  </si>
  <si>
    <t xml:space="preserve">Резервный фонд района </t>
  </si>
  <si>
    <t xml:space="preserve"> Финансовый резерв (депутатским наказам-2000 тыс.руб., на софинан субсидий из респ бюджета при исполнении бюджета-300 тыс.руб)</t>
  </si>
  <si>
    <t>Противопожарные мероприятия: обслуживание АПС, замена АПС  ; мониторинг АПС, монтаж АПС</t>
  </si>
  <si>
    <t>Взносы в Ассоциацию МО</t>
  </si>
  <si>
    <t xml:space="preserve">Налог Земельный </t>
  </si>
  <si>
    <t>Налог на имущество</t>
  </si>
  <si>
    <t>Налог Транспортный</t>
  </si>
  <si>
    <t>Налог - Плата за негативное воздействие на окр.среду</t>
  </si>
  <si>
    <t>иные налоги, сборы и платежи</t>
  </si>
  <si>
    <t>На гос. экспертизу ПСД ( Онгудай сош на 550 мест)</t>
  </si>
  <si>
    <t>На гос.экспертизу ПСД детского сада в  с Теньга</t>
  </si>
  <si>
    <t>на ПСД строительства СДК с. Ело</t>
  </si>
  <si>
    <t xml:space="preserve"> Физкультурно-оздоровительный комплекс открытого типа с. Теньга (на подготовительные и земленые работы)</t>
  </si>
  <si>
    <t>Выполнение геодез. Съемки трассы в рамках корректировки ПСД на реконстркуцию систем водоснабжения  с Онудай (Талда, ДРСУ,Южный)</t>
  </si>
  <si>
    <t>Прохождение гос экспертизы корректировки ПСД на реконструкцию систем водоснабжения в с. Онгудай (мкр Талда, ДРСУ, Южный)</t>
  </si>
  <si>
    <t>Прохождение гос. экспертизы ПСД на капитальный ремонт гидротехнического сооружения в с. Онгудай</t>
  </si>
  <si>
    <t>Электроосвещение  населенных  пунктов  (с. Н-Талда, Онгудай, Ело)(электроматериалы,мотажные работы , тех условия)</t>
  </si>
  <si>
    <t>ПГ:  бурение скважины с Иня, ул Энергетиков</t>
  </si>
  <si>
    <t>ПГ: разработка проекта слияние р Чуя -Катунь</t>
  </si>
  <si>
    <t>Содержание здания пожарной части, ул Советская (МУП "Онгудайводснаб")</t>
  </si>
  <si>
    <t>Установка контейнерн площадок с мусорн котейнерами в комплектации</t>
  </si>
  <si>
    <t>Расходы дорожного фонда</t>
  </si>
  <si>
    <t xml:space="preserve">Обслуживание муницип.долга </t>
  </si>
  <si>
    <t>Вывозка сухого мусора</t>
  </si>
  <si>
    <t>Дератизация, Аккариц. Обраб. Терр школ</t>
  </si>
  <si>
    <t>на захоронение ТБО (свалки:с. Кара-Коба, Каярлык, Иодро)</t>
  </si>
  <si>
    <t>Расходы на буртовку</t>
  </si>
  <si>
    <t>Оценка имущества</t>
  </si>
  <si>
    <t>Проведение кадастровых работ</t>
  </si>
  <si>
    <t>на проведение допол выборы депутата  района (округ №17)</t>
  </si>
  <si>
    <t>на проведения ремонтных работ в объектах водоснабжения, разработка проектов ЗСО, графическое описание ЗСО, для получения лицензий</t>
  </si>
  <si>
    <t xml:space="preserve">Питьевая вода: произв-ный контроль за соблюд сан.правил </t>
  </si>
  <si>
    <t>на услуги типографии</t>
  </si>
  <si>
    <t>Авто:  Страхование</t>
  </si>
  <si>
    <t>Приобретение бланков аттестатов</t>
  </si>
  <si>
    <t>Мед. услуги: предрейсовый осмотр водителей</t>
  </si>
  <si>
    <t xml:space="preserve">Обслуживание спутн.системы ГЛОНАСС и установка </t>
  </si>
  <si>
    <t>Зарядка огнетушителей</t>
  </si>
  <si>
    <t>Услуги ЧОП, объект -7, учреждения-7  (потребность 2694,8 тыс.руб, разница за счет средств респ-го бюджета остаток на счетах БУ и АУ)</t>
  </si>
  <si>
    <t>Проведение ЕГЭ-11 кл и ОГЭ -9кл</t>
  </si>
  <si>
    <t>Доплата к пенсии за выслугу лет мун.служ.</t>
  </si>
  <si>
    <t>Аварийный запас (тепло-водоснабжения, дизельгенератор, тепловые пушки, насосы, бензопилы, рации, веревки, онгнетушители</t>
  </si>
  <si>
    <t>ИТОГО ПЕРВООЧЕРЕДНЫЕ РАСХОДЫ</t>
  </si>
  <si>
    <t>Специальная оценка условий труда,</t>
  </si>
  <si>
    <t>Оборуд.мест прожива малообесп, соц-нонеадаптир, маломобильных гр насел автон.дымов.пожарн.извещателями</t>
  </si>
  <si>
    <t>депутатская деятельность</t>
  </si>
  <si>
    <t>Дезинфицирущие средства (посудомоечн, порошок, хлорамин, атибактериальные и антисептические средства, перчатки)</t>
  </si>
  <si>
    <t>приобретение термометров</t>
  </si>
  <si>
    <t>на текущий ремонт  зданий, стройматериалы</t>
  </si>
  <si>
    <t>на ремонт здания ОМЦБС, в т.ч. ремонт АПС</t>
  </si>
  <si>
    <t xml:space="preserve">Субсидии МУП на проведение ремонтных работ систем теплоснабжения </t>
  </si>
  <si>
    <t xml:space="preserve">проведение ремонтных работ систем водоснабжения </t>
  </si>
  <si>
    <t>оформление правоустанавливающих документов объектов ЖКХ (теплотрассы-4,4 км, водопроводы-32,7 км, 3 скважины)</t>
  </si>
  <si>
    <t>на оборудования площадки для содержание бродячих сельскохозяйственных животных (СП)</t>
  </si>
  <si>
    <t>Видеонаблюдение : Мероприятия по "Антитеррор", видеокамеры, обслуживание видеонаблюдение, (2022 году за счет средств респуб-го бюджета остатки на счетах БУ И АУ-отдел обазования)</t>
  </si>
  <si>
    <t>Заправка катриджей, ремонт катриджей</t>
  </si>
  <si>
    <t>Авто: Услуги СТО, техосмотр, техобслуж, ремонт автом</t>
  </si>
  <si>
    <t>Размещение материалов в  газетах, ГТРК</t>
  </si>
  <si>
    <t>Приобретение оборудования инвентаря (в мед. кабинет и в школьные столовые оборудования)</t>
  </si>
  <si>
    <t xml:space="preserve"> на курсы по повыш квали-ии специалистов, и обучение по  44-фз </t>
  </si>
  <si>
    <t>Изготовление баннеров</t>
  </si>
  <si>
    <t>Мед.услуги : санитарно-гигиеническое обучение (973 чел*550 руб), медосмотр  работников</t>
  </si>
  <si>
    <t>Охрана труда- обучение : кочегаров, поваров, электриков , специалистов по охране труда, руководителей,санитарно-гигиеническое обучение, по ГО и ЧС  и противопож безоп-ти</t>
  </si>
  <si>
    <t>Подписка период печати</t>
  </si>
  <si>
    <t>Договора метеорологические  услуги</t>
  </si>
  <si>
    <t xml:space="preserve"> на проведения меропри-ия День Победы , Месячник Пожилого человека</t>
  </si>
  <si>
    <t>Хозяйственные расходы</t>
  </si>
  <si>
    <t>канцтовары</t>
  </si>
  <si>
    <t>приобретение метод литературы</t>
  </si>
  <si>
    <t>материальный резерв</t>
  </si>
  <si>
    <t>спецодежда, спецформы для личного состава</t>
  </si>
  <si>
    <t>Расходы к юб.датам и др офиц.мероприят:  цветы, сувениры, подарки, грамоты, гирлянды,благодарственные письма, видеозапись конц номеров (ДШИ)</t>
  </si>
  <si>
    <t>на участие в конкурсах организационные взносы</t>
  </si>
  <si>
    <t>Служебные командировки все статьи</t>
  </si>
  <si>
    <t>Мероприятия по  молод.политике</t>
  </si>
  <si>
    <t>мероприятия  культура- районные</t>
  </si>
  <si>
    <t xml:space="preserve"> участие на мероприятия культура -республиканские  </t>
  </si>
  <si>
    <t>участие на Эл- ойын Межрегиональный</t>
  </si>
  <si>
    <t>Спортивные  мероп-я   массового спорта</t>
  </si>
  <si>
    <t xml:space="preserve">на мероприятия </t>
  </si>
  <si>
    <t xml:space="preserve">Спортив мероприятия: районные и  участие в респуб соревн-иях </t>
  </si>
  <si>
    <t>мероприятия метод. отдела</t>
  </si>
  <si>
    <t xml:space="preserve">на проведение юноармейского слета, военно-потриатическое воспитание </t>
  </si>
  <si>
    <t>Доска почета (Культ), почетн грамоты, благод письма</t>
  </si>
  <si>
    <t>Соц.поддержка насел.(проведение социально значимых мероприятий</t>
  </si>
  <si>
    <t>Приобретение орг техники, МФУ,видеокарты,сетевая карта, диск SSD, материалы на обслуживание сервера</t>
  </si>
  <si>
    <t xml:space="preserve">Библиотечный фонд </t>
  </si>
  <si>
    <t>Спортивная форма</t>
  </si>
  <si>
    <t xml:space="preserve">Спортивный инвентарь, </t>
  </si>
  <si>
    <t>Пошив сцен.костюмов приобретение материала (ткань), сценическая обувь</t>
  </si>
  <si>
    <t>настройка музыкальных инструментов</t>
  </si>
  <si>
    <t>приобретение музыкальных инструментов</t>
  </si>
  <si>
    <t xml:space="preserve">на приобретение пресс  пакетированный,гидровлический </t>
  </si>
  <si>
    <t>на приобретение коммунальной техники</t>
  </si>
  <si>
    <t>приобретение АТС(для обеспечения прямой связи с социально-значимыми обектами)</t>
  </si>
  <si>
    <t>на оплату за услуги за сбор от населения водоснабжения</t>
  </si>
  <si>
    <t>приобретение электрооборудования</t>
  </si>
  <si>
    <t xml:space="preserve"> на проведение мероприятий с СМСП , поддержка Фонда предпринимательства </t>
  </si>
  <si>
    <t>Мероприятия по МП: компл меры по антитеррост. направ-ти и профил-ка наркотич-их веществ</t>
  </si>
  <si>
    <t>Мероприятия  "Развитие АПК МО "Онгудайский район, на проведение мероприятий, конкурсов, подведение трудов-ых итогов</t>
  </si>
  <si>
    <t>расходы на выполнение мобилизационных мероприятий</t>
  </si>
  <si>
    <t>опалата труда по договору Совет ветеранов (предс, обсл персонал)</t>
  </si>
  <si>
    <t>Мероприятия "Безопасное колесо", стимулирование гражд , участв в охране обществ. Порядка</t>
  </si>
  <si>
    <t>ИТОГО  по текущим расходам</t>
  </si>
  <si>
    <t>Всего  расходов на 2022 год</t>
  </si>
  <si>
    <t>разница остатка после распределения</t>
  </si>
  <si>
    <t>ВСЕГО РАСХОДОВ БЕЗ 2938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</si>
</sst>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0&quot;р.&quot;_-;\-* #,##0.00&quot;р.&quot;_-;_-* &quot;-&quot;??&quot;р.&quot;_-;_-@_-"/>
    <numFmt numFmtId="167" formatCode="_-* #,##0_р_._-;\-* #,##0_р_._-;_-* &quot;-&quot;_р_._-;_-@_-"/>
    <numFmt numFmtId="168" formatCode="_(* #,##0.00_);_(* \(#,##0.00\);_(* &quot;-&quot;??_);_(@_)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1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1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8"/>
      <color rgb="FF000000"/>
      <name val="Arial Cyr"/>
    </font>
    <font>
      <b/>
      <sz val="10"/>
      <name val="Times New Roman"/>
      <family val="1"/>
      <charset val="204"/>
    </font>
    <font>
      <b/>
      <sz val="8"/>
      <color rgb="FF000000"/>
      <name val="Arial Cyr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1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1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6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/>
    <xf numFmtId="0" fontId="34" fillId="20" borderId="0">
      <alignment horizontal="left" vertical="center"/>
    </xf>
    <xf numFmtId="0" fontId="34" fillId="20" borderId="0">
      <alignment horizontal="center" vertical="center"/>
    </xf>
    <xf numFmtId="0" fontId="34" fillId="20" borderId="0">
      <alignment horizontal="center" vertical="center"/>
    </xf>
    <xf numFmtId="0" fontId="34" fillId="20" borderId="0">
      <alignment horizontal="right" vertical="center"/>
    </xf>
    <xf numFmtId="0" fontId="35" fillId="20" borderId="0">
      <alignment horizontal="left"/>
    </xf>
    <xf numFmtId="0" fontId="36" fillId="20" borderId="0">
      <alignment horizontal="center"/>
    </xf>
    <xf numFmtId="0" fontId="37" fillId="20" borderId="0">
      <alignment horizontal="center" vertical="center"/>
    </xf>
    <xf numFmtId="0" fontId="35" fillId="20" borderId="0">
      <alignment horizontal="center" vertical="center"/>
    </xf>
    <xf numFmtId="0" fontId="35" fillId="20" borderId="0">
      <alignment horizontal="center" vertical="center"/>
    </xf>
    <xf numFmtId="0" fontId="34" fillId="20" borderId="0">
      <alignment horizontal="right" vertical="center"/>
    </xf>
    <xf numFmtId="0" fontId="34" fillId="20" borderId="0">
      <alignment horizontal="left" vertical="center"/>
    </xf>
    <xf numFmtId="0" fontId="34" fillId="20" borderId="0">
      <alignment horizontal="center" vertical="center"/>
    </xf>
    <xf numFmtId="0" fontId="35" fillId="20" borderId="0">
      <alignment horizontal="center" vertical="center"/>
    </xf>
    <xf numFmtId="0" fontId="34" fillId="20" borderId="0">
      <alignment horizontal="right" vertical="center"/>
    </xf>
    <xf numFmtId="0" fontId="34" fillId="20" borderId="0">
      <alignment horizontal="right" vertical="center"/>
    </xf>
    <xf numFmtId="0" fontId="38" fillId="20" borderId="0">
      <alignment horizontal="left" vertical="top"/>
    </xf>
    <xf numFmtId="0" fontId="35" fillId="20" borderId="0">
      <alignment horizontal="left" vertical="center"/>
    </xf>
    <xf numFmtId="0" fontId="34" fillId="20" borderId="0">
      <alignment horizontal="left" vertical="center"/>
    </xf>
    <xf numFmtId="0" fontId="34" fillId="20" borderId="0">
      <alignment horizontal="right" vertical="center"/>
    </xf>
    <xf numFmtId="0" fontId="34" fillId="20" borderId="0">
      <alignment horizontal="right" vertical="center"/>
    </xf>
    <xf numFmtId="0" fontId="34" fillId="20" borderId="0">
      <alignment horizontal="center" vertical="center"/>
    </xf>
    <xf numFmtId="0" fontId="34" fillId="20" borderId="0">
      <alignment horizontal="center" vertical="center"/>
    </xf>
    <xf numFmtId="0" fontId="34" fillId="20" borderId="0">
      <alignment horizontal="center" vertical="center"/>
    </xf>
    <xf numFmtId="0" fontId="34" fillId="20" borderId="0">
      <alignment horizontal="center" vertical="center"/>
    </xf>
    <xf numFmtId="0" fontId="34" fillId="20" borderId="0">
      <alignment horizontal="right" vertical="center"/>
    </xf>
    <xf numFmtId="0" fontId="36" fillId="20" borderId="0">
      <alignment horizontal="left" vertical="center"/>
    </xf>
    <xf numFmtId="0" fontId="34" fillId="20" borderId="0">
      <alignment horizontal="center" vertical="center"/>
    </xf>
    <xf numFmtId="4" fontId="39" fillId="0" borderId="22">
      <alignment horizontal="right" vertical="center" shrinkToFit="1"/>
    </xf>
    <xf numFmtId="4" fontId="39" fillId="0" borderId="23">
      <alignment horizontal="right" vertical="center" shrinkToFit="1"/>
    </xf>
    <xf numFmtId="49" fontId="40" fillId="0" borderId="22">
      <alignment horizontal="center" vertical="top" wrapText="1"/>
    </xf>
    <xf numFmtId="49" fontId="41" fillId="0" borderId="24">
      <alignment horizontal="left" vertical="center" wrapText="1"/>
    </xf>
    <xf numFmtId="49" fontId="41" fillId="0" borderId="22">
      <alignment horizontal="center" vertical="center" wrapText="1"/>
    </xf>
    <xf numFmtId="49" fontId="41" fillId="0" borderId="22">
      <alignment horizontal="center" vertical="center"/>
    </xf>
    <xf numFmtId="0" fontId="40" fillId="0" borderId="22">
      <alignment horizontal="center" vertical="top" wrapText="1"/>
    </xf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2" fillId="4" borderId="25" applyNumberFormat="0" applyAlignment="0" applyProtection="0"/>
    <xf numFmtId="0" fontId="42" fillId="4" borderId="25" applyNumberFormat="0" applyAlignment="0" applyProtection="0"/>
    <xf numFmtId="0" fontId="42" fillId="4" borderId="25" applyNumberFormat="0" applyAlignment="0" applyProtection="0"/>
    <xf numFmtId="0" fontId="42" fillId="4" borderId="25" applyNumberFormat="0" applyAlignment="0" applyProtection="0"/>
    <xf numFmtId="0" fontId="42" fillId="4" borderId="25" applyNumberFormat="0" applyAlignment="0" applyProtection="0"/>
    <xf numFmtId="0" fontId="42" fillId="4" borderId="25" applyNumberFormat="0" applyAlignment="0" applyProtection="0"/>
    <xf numFmtId="0" fontId="43" fillId="2" borderId="26" applyNumberFormat="0" applyAlignment="0" applyProtection="0"/>
    <xf numFmtId="0" fontId="43" fillId="2" borderId="26" applyNumberFormat="0" applyAlignment="0" applyProtection="0"/>
    <xf numFmtId="0" fontId="43" fillId="2" borderId="26" applyNumberFormat="0" applyAlignment="0" applyProtection="0"/>
    <xf numFmtId="0" fontId="43" fillId="2" borderId="26" applyNumberFormat="0" applyAlignment="0" applyProtection="0"/>
    <xf numFmtId="0" fontId="43" fillId="10" borderId="26" applyNumberFormat="0" applyAlignment="0" applyProtection="0"/>
    <xf numFmtId="0" fontId="43" fillId="10" borderId="26" applyNumberFormat="0" applyAlignment="0" applyProtection="0"/>
    <xf numFmtId="0" fontId="44" fillId="2" borderId="25" applyNumberFormat="0" applyAlignment="0" applyProtection="0"/>
    <xf numFmtId="0" fontId="44" fillId="2" borderId="25" applyNumberFormat="0" applyAlignment="0" applyProtection="0"/>
    <xf numFmtId="0" fontId="44" fillId="2" borderId="25" applyNumberFormat="0" applyAlignment="0" applyProtection="0"/>
    <xf numFmtId="0" fontId="44" fillId="2" borderId="25" applyNumberFormat="0" applyAlignment="0" applyProtection="0"/>
    <xf numFmtId="0" fontId="44" fillId="10" borderId="25" applyNumberFormat="0" applyAlignment="0" applyProtection="0"/>
    <xf numFmtId="0" fontId="44" fillId="10" borderId="25" applyNumberFormat="0" applyAlignment="0" applyProtection="0"/>
    <xf numFmtId="166" fontId="45" fillId="0" borderId="0" applyFont="0" applyFill="0" applyBorder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9" fillId="0" borderId="29" applyNumberFormat="0" applyFill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0" fillId="0" borderId="30" applyNumberFormat="0" applyFill="0" applyAlignment="0" applyProtection="0"/>
    <xf numFmtId="0" fontId="51" fillId="0" borderId="31" applyNumberFormat="0" applyFill="0" applyAlignment="0" applyProtection="0"/>
    <xf numFmtId="0" fontId="51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2" fillId="0" borderId="32" applyNumberFormat="0" applyFill="0" applyAlignment="0" applyProtection="0"/>
    <xf numFmtId="0" fontId="53" fillId="0" borderId="33" applyNumberFormat="0" applyFill="0" applyAlignment="0" applyProtection="0"/>
    <xf numFmtId="0" fontId="53" fillId="0" borderId="33" applyNumberFormat="0" applyFill="0" applyAlignment="0" applyProtection="0"/>
    <xf numFmtId="0" fontId="54" fillId="26" borderId="34" applyNumberFormat="0" applyAlignment="0" applyProtection="0"/>
    <xf numFmtId="0" fontId="54" fillId="26" borderId="34" applyNumberFormat="0" applyAlignment="0" applyProtection="0"/>
    <xf numFmtId="0" fontId="54" fillId="26" borderId="34" applyNumberFormat="0" applyAlignment="0" applyProtection="0"/>
    <xf numFmtId="0" fontId="54" fillId="26" borderId="34" applyNumberFormat="0" applyAlignment="0" applyProtection="0"/>
    <xf numFmtId="0" fontId="55" fillId="26" borderId="34" applyNumberFormat="0" applyAlignment="0" applyProtection="0"/>
    <xf numFmtId="0" fontId="55" fillId="26" borderId="34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6" fillId="0" borderId="0"/>
    <xf numFmtId="0" fontId="2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9" fillId="0" borderId="0"/>
    <xf numFmtId="0" fontId="5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60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6" borderId="35" applyNumberFormat="0" applyFont="0" applyAlignment="0" applyProtection="0"/>
    <xf numFmtId="0" fontId="63" fillId="6" borderId="35" applyNumberFormat="0" applyFont="0" applyAlignment="0" applyProtection="0"/>
    <xf numFmtId="0" fontId="63" fillId="6" borderId="35" applyNumberFormat="0" applyFont="0" applyAlignment="0" applyProtection="0"/>
    <xf numFmtId="0" fontId="63" fillId="6" borderId="35" applyNumberFormat="0" applyFont="0" applyAlignment="0" applyProtection="0"/>
    <xf numFmtId="0" fontId="45" fillId="6" borderId="35" applyNumberFormat="0" applyFont="0" applyAlignment="0" applyProtection="0"/>
    <xf numFmtId="0" fontId="45" fillId="6" borderId="35" applyNumberFormat="0" applyFont="0" applyAlignment="0" applyProtection="0"/>
    <xf numFmtId="9" fontId="28" fillId="0" borderId="0" applyFont="0" applyFill="0" applyBorder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8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</cellStyleXfs>
  <cellXfs count="163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left" vertical="top"/>
    </xf>
    <xf numFmtId="0" fontId="4" fillId="0" borderId="0" xfId="2" applyFont="1" applyFill="1"/>
    <xf numFmtId="0" fontId="3" fillId="0" borderId="0" xfId="2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2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1" xfId="2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3" fillId="0" borderId="2" xfId="2" applyFont="1" applyFill="1" applyBorder="1"/>
    <xf numFmtId="0" fontId="10" fillId="0" borderId="3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10" fillId="0" borderId="5" xfId="2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5" fillId="0" borderId="3" xfId="2" applyNumberFormat="1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center"/>
    </xf>
    <xf numFmtId="2" fontId="3" fillId="0" borderId="2" xfId="2" applyNumberFormat="1" applyFont="1" applyFill="1" applyBorder="1"/>
    <xf numFmtId="2" fontId="3" fillId="0" borderId="8" xfId="2" applyNumberFormat="1" applyFont="1" applyFill="1" applyBorder="1"/>
    <xf numFmtId="2" fontId="5" fillId="0" borderId="8" xfId="2" applyNumberFormat="1" applyFont="1" applyFill="1" applyBorder="1"/>
    <xf numFmtId="2" fontId="4" fillId="0" borderId="2" xfId="2" applyNumberFormat="1" applyFont="1" applyFill="1" applyBorder="1"/>
    <xf numFmtId="2" fontId="4" fillId="0" borderId="5" xfId="2" applyNumberFormat="1" applyFont="1" applyFill="1" applyBorder="1"/>
    <xf numFmtId="2" fontId="3" fillId="0" borderId="0" xfId="2" applyNumberFormat="1" applyFont="1" applyFill="1" applyBorder="1"/>
    <xf numFmtId="0" fontId="13" fillId="0" borderId="2" xfId="2" applyFont="1" applyFill="1" applyBorder="1"/>
    <xf numFmtId="164" fontId="3" fillId="0" borderId="2" xfId="1" applyNumberFormat="1" applyFont="1" applyFill="1" applyBorder="1" applyAlignment="1">
      <alignment horizontal="left" vertical="center" wrapText="1"/>
    </xf>
    <xf numFmtId="2" fontId="5" fillId="0" borderId="2" xfId="2" applyNumberFormat="1" applyFont="1" applyFill="1" applyBorder="1"/>
    <xf numFmtId="2" fontId="13" fillId="0" borderId="0" xfId="2" applyNumberFormat="1" applyFont="1" applyFill="1" applyBorder="1"/>
    <xf numFmtId="0" fontId="13" fillId="0" borderId="0" xfId="2" applyFont="1" applyFill="1"/>
    <xf numFmtId="0" fontId="3" fillId="0" borderId="2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/>
    </xf>
    <xf numFmtId="2" fontId="3" fillId="0" borderId="6" xfId="2" applyNumberFormat="1" applyFont="1" applyFill="1" applyBorder="1"/>
    <xf numFmtId="0" fontId="3" fillId="0" borderId="4" xfId="2" applyFont="1" applyFill="1" applyBorder="1"/>
    <xf numFmtId="164" fontId="3" fillId="0" borderId="4" xfId="1" applyNumberFormat="1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/>
    </xf>
    <xf numFmtId="2" fontId="3" fillId="0" borderId="9" xfId="2" applyNumberFormat="1" applyFont="1" applyFill="1" applyBorder="1"/>
    <xf numFmtId="2" fontId="4" fillId="0" borderId="4" xfId="2" applyNumberFormat="1" applyFont="1" applyFill="1" applyBorder="1"/>
    <xf numFmtId="0" fontId="14" fillId="0" borderId="2" xfId="2" applyFont="1" applyFill="1" applyBorder="1"/>
    <xf numFmtId="164" fontId="14" fillId="0" borderId="2" xfId="1" applyNumberFormat="1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center" wrapText="1"/>
    </xf>
    <xf numFmtId="0" fontId="14" fillId="0" borderId="2" xfId="2" applyFont="1" applyFill="1" applyBorder="1" applyAlignment="1">
      <alignment horizontal="center"/>
    </xf>
    <xf numFmtId="2" fontId="14" fillId="0" borderId="2" xfId="2" applyNumberFormat="1" applyFont="1" applyFill="1" applyBorder="1"/>
    <xf numFmtId="2" fontId="15" fillId="0" borderId="2" xfId="2" applyNumberFormat="1" applyFont="1" applyFill="1" applyBorder="1"/>
    <xf numFmtId="2" fontId="16" fillId="0" borderId="2" xfId="2" applyNumberFormat="1" applyFont="1" applyFill="1" applyBorder="1"/>
    <xf numFmtId="2" fontId="14" fillId="0" borderId="3" xfId="2" applyNumberFormat="1" applyFont="1" applyFill="1" applyBorder="1"/>
    <xf numFmtId="0" fontId="3" fillId="0" borderId="8" xfId="2" applyFont="1" applyFill="1" applyBorder="1"/>
    <xf numFmtId="164" fontId="17" fillId="0" borderId="3" xfId="1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2" fontId="3" fillId="0" borderId="1" xfId="2" applyNumberFormat="1" applyFont="1" applyFill="1" applyBorder="1"/>
    <xf numFmtId="2" fontId="4" fillId="0" borderId="8" xfId="2" applyNumberFormat="1" applyFont="1" applyFill="1" applyBorder="1"/>
    <xf numFmtId="164" fontId="18" fillId="0" borderId="2" xfId="1" applyNumberFormat="1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center" wrapText="1"/>
    </xf>
    <xf numFmtId="0" fontId="19" fillId="0" borderId="2" xfId="2" applyFont="1" applyFill="1" applyBorder="1" applyAlignment="1">
      <alignment horizontal="center"/>
    </xf>
    <xf numFmtId="2" fontId="19" fillId="0" borderId="2" xfId="2" applyNumberFormat="1" applyFont="1" applyFill="1" applyBorder="1"/>
    <xf numFmtId="2" fontId="20" fillId="0" borderId="2" xfId="2" applyNumberFormat="1" applyFont="1" applyFill="1" applyBorder="1"/>
    <xf numFmtId="2" fontId="4" fillId="0" borderId="7" xfId="2" applyNumberFormat="1" applyFont="1" applyFill="1" applyBorder="1"/>
    <xf numFmtId="164" fontId="18" fillId="0" borderId="1" xfId="1" applyNumberFormat="1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center" wrapText="1"/>
    </xf>
    <xf numFmtId="0" fontId="19" fillId="0" borderId="1" xfId="2" applyFont="1" applyFill="1" applyBorder="1" applyAlignment="1">
      <alignment horizontal="center"/>
    </xf>
    <xf numFmtId="2" fontId="19" fillId="0" borderId="1" xfId="2" applyNumberFormat="1" applyFont="1" applyFill="1" applyBorder="1"/>
    <xf numFmtId="2" fontId="21" fillId="0" borderId="2" xfId="2" applyNumberFormat="1" applyFont="1" applyFill="1" applyBorder="1"/>
    <xf numFmtId="0" fontId="22" fillId="0" borderId="8" xfId="2" applyFont="1" applyFill="1" applyBorder="1"/>
    <xf numFmtId="0" fontId="22" fillId="0" borderId="1" xfId="2" applyFont="1" applyFill="1" applyBorder="1" applyAlignment="1">
      <alignment horizontal="left" vertical="top" wrapText="1"/>
    </xf>
    <xf numFmtId="0" fontId="22" fillId="0" borderId="1" xfId="2" applyFont="1" applyFill="1" applyBorder="1" applyAlignment="1">
      <alignment horizontal="center" wrapText="1"/>
    </xf>
    <xf numFmtId="0" fontId="22" fillId="0" borderId="1" xfId="2" applyFont="1" applyFill="1" applyBorder="1" applyAlignment="1">
      <alignment horizontal="center"/>
    </xf>
    <xf numFmtId="2" fontId="22" fillId="0" borderId="1" xfId="2" applyNumberFormat="1" applyFont="1" applyFill="1" applyBorder="1"/>
    <xf numFmtId="2" fontId="5" fillId="0" borderId="5" xfId="2" applyNumberFormat="1" applyFont="1" applyFill="1" applyBorder="1"/>
    <xf numFmtId="2" fontId="22" fillId="0" borderId="0" xfId="2" applyNumberFormat="1" applyFont="1" applyFill="1" applyBorder="1"/>
    <xf numFmtId="0" fontId="22" fillId="0" borderId="0" xfId="2" applyFont="1" applyFill="1"/>
    <xf numFmtId="2" fontId="20" fillId="0" borderId="5" xfId="2" applyNumberFormat="1" applyFont="1" applyFill="1" applyBorder="1"/>
    <xf numFmtId="0" fontId="23" fillId="0" borderId="8" xfId="2" applyFont="1" applyFill="1" applyBorder="1"/>
    <xf numFmtId="0" fontId="23" fillId="0" borderId="1" xfId="2" applyFont="1" applyFill="1" applyBorder="1" applyAlignment="1">
      <alignment horizontal="left" vertical="top" wrapText="1"/>
    </xf>
    <xf numFmtId="0" fontId="23" fillId="0" borderId="1" xfId="2" applyFont="1" applyFill="1" applyBorder="1" applyAlignment="1">
      <alignment horizontal="center" wrapText="1"/>
    </xf>
    <xf numFmtId="0" fontId="23" fillId="0" borderId="1" xfId="2" applyFont="1" applyFill="1" applyBorder="1" applyAlignment="1">
      <alignment horizontal="center"/>
    </xf>
    <xf numFmtId="2" fontId="23" fillId="0" borderId="1" xfId="2" applyNumberFormat="1" applyFont="1" applyFill="1" applyBorder="1"/>
    <xf numFmtId="2" fontId="23" fillId="0" borderId="0" xfId="2" applyNumberFormat="1" applyFont="1" applyFill="1" applyBorder="1"/>
    <xf numFmtId="0" fontId="23" fillId="0" borderId="0" xfId="2" applyFont="1" applyFill="1"/>
    <xf numFmtId="0" fontId="19" fillId="0" borderId="8" xfId="2" applyFont="1" applyFill="1" applyBorder="1"/>
    <xf numFmtId="0" fontId="19" fillId="0" borderId="1" xfId="2" applyFont="1" applyFill="1" applyBorder="1" applyAlignment="1">
      <alignment horizontal="left" vertical="top" wrapText="1"/>
    </xf>
    <xf numFmtId="2" fontId="21" fillId="0" borderId="5" xfId="2" applyNumberFormat="1" applyFont="1" applyFill="1" applyBorder="1"/>
    <xf numFmtId="2" fontId="19" fillId="0" borderId="0" xfId="2" applyNumberFormat="1" applyFont="1" applyFill="1" applyBorder="1"/>
    <xf numFmtId="0" fontId="19" fillId="0" borderId="0" xfId="2" applyFont="1" applyFill="1"/>
    <xf numFmtId="165" fontId="6" fillId="0" borderId="2" xfId="2" applyNumberFormat="1" applyFont="1" applyFill="1" applyBorder="1"/>
    <xf numFmtId="165" fontId="24" fillId="0" borderId="2" xfId="2" applyNumberFormat="1" applyFont="1" applyFill="1" applyBorder="1"/>
    <xf numFmtId="165" fontId="24" fillId="0" borderId="2" xfId="2" applyNumberFormat="1" applyFont="1" applyFill="1" applyBorder="1" applyAlignment="1">
      <alignment horizontal="left"/>
    </xf>
    <xf numFmtId="165" fontId="24" fillId="0" borderId="5" xfId="2" applyNumberFormat="1" applyFont="1" applyFill="1" applyBorder="1"/>
    <xf numFmtId="165" fontId="24" fillId="0" borderId="0" xfId="2" applyNumberFormat="1" applyFont="1" applyFill="1"/>
    <xf numFmtId="165" fontId="25" fillId="0" borderId="2" xfId="2" applyNumberFormat="1" applyFont="1" applyFill="1" applyBorder="1" applyAlignment="1">
      <alignment horizontal="left"/>
    </xf>
    <xf numFmtId="0" fontId="3" fillId="0" borderId="3" xfId="3" applyFont="1" applyFill="1" applyBorder="1" applyAlignment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165" fontId="6" fillId="0" borderId="4" xfId="2" applyNumberFormat="1" applyFont="1" applyFill="1" applyBorder="1"/>
    <xf numFmtId="165" fontId="24" fillId="0" borderId="10" xfId="2" applyNumberFormat="1" applyFont="1" applyFill="1" applyBorder="1" applyAlignment="1">
      <alignment horizontal="left"/>
    </xf>
    <xf numFmtId="0" fontId="10" fillId="0" borderId="2" xfId="2" applyFont="1" applyFill="1" applyBorder="1"/>
    <xf numFmtId="0" fontId="10" fillId="0" borderId="11" xfId="2" applyFont="1" applyFill="1" applyBorder="1" applyAlignment="1">
      <alignment horizontal="left" vertical="top" wrapText="1"/>
    </xf>
    <xf numFmtId="2" fontId="10" fillId="0" borderId="12" xfId="2" applyNumberFormat="1" applyFont="1" applyFill="1" applyBorder="1" applyAlignment="1">
      <alignment horizontal="center"/>
    </xf>
    <xf numFmtId="2" fontId="10" fillId="0" borderId="12" xfId="2" applyNumberFormat="1" applyFont="1" applyFill="1" applyBorder="1"/>
    <xf numFmtId="2" fontId="5" fillId="0" borderId="13" xfId="2" applyNumberFormat="1" applyFont="1" applyFill="1" applyBorder="1"/>
    <xf numFmtId="165" fontId="6" fillId="0" borderId="14" xfId="2" applyNumberFormat="1" applyFont="1" applyFill="1" applyBorder="1"/>
    <xf numFmtId="165" fontId="6" fillId="0" borderId="11" xfId="2" applyNumberFormat="1" applyFont="1" applyFill="1" applyBorder="1"/>
    <xf numFmtId="165" fontId="6" fillId="0" borderId="12" xfId="2" applyNumberFormat="1" applyFont="1" applyFill="1" applyBorder="1" applyAlignment="1">
      <alignment horizontal="left"/>
    </xf>
    <xf numFmtId="2" fontId="10" fillId="0" borderId="0" xfId="2" applyNumberFormat="1" applyFont="1" applyFill="1" applyBorder="1"/>
    <xf numFmtId="0" fontId="10" fillId="0" borderId="0" xfId="2" applyFont="1" applyFill="1"/>
    <xf numFmtId="2" fontId="3" fillId="0" borderId="15" xfId="2" applyNumberFormat="1" applyFont="1" applyFill="1" applyBorder="1" applyAlignment="1">
      <alignment horizontal="left" vertical="top" wrapText="1"/>
    </xf>
    <xf numFmtId="0" fontId="3" fillId="0" borderId="8" xfId="2" applyFont="1" applyFill="1" applyBorder="1" applyAlignment="1">
      <alignment horizontal="center"/>
    </xf>
    <xf numFmtId="165" fontId="6" fillId="0" borderId="8" xfId="2" applyNumberFormat="1" applyFont="1" applyFill="1" applyBorder="1"/>
    <xf numFmtId="165" fontId="24" fillId="0" borderId="8" xfId="2" applyNumberFormat="1" applyFont="1" applyFill="1" applyBorder="1"/>
    <xf numFmtId="165" fontId="24" fillId="0" borderId="7" xfId="2" applyNumberFormat="1" applyFont="1" applyFill="1" applyBorder="1"/>
    <xf numFmtId="165" fontId="24" fillId="0" borderId="8" xfId="2" applyNumberFormat="1" applyFont="1" applyFill="1" applyBorder="1" applyAlignment="1">
      <alignment horizontal="left"/>
    </xf>
    <xf numFmtId="1" fontId="3" fillId="0" borderId="0" xfId="2" applyNumberFormat="1" applyFont="1" applyFill="1"/>
    <xf numFmtId="165" fontId="24" fillId="0" borderId="5" xfId="2" applyNumberFormat="1" applyFont="1" applyFill="1" applyBorder="1" applyAlignment="1"/>
    <xf numFmtId="0" fontId="3" fillId="0" borderId="3" xfId="2" applyFont="1" applyFill="1" applyBorder="1" applyAlignment="1">
      <alignment horizontal="left" wrapText="1"/>
    </xf>
    <xf numFmtId="0" fontId="3" fillId="0" borderId="9" xfId="2" applyFont="1" applyFill="1" applyBorder="1" applyAlignment="1">
      <alignment horizontal="left" vertical="top" wrapText="1"/>
    </xf>
    <xf numFmtId="0" fontId="3" fillId="0" borderId="4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165" fontId="24" fillId="0" borderId="4" xfId="2" applyNumberFormat="1" applyFont="1" applyFill="1" applyBorder="1"/>
    <xf numFmtId="165" fontId="24" fillId="0" borderId="16" xfId="2" applyNumberFormat="1" applyFont="1" applyFill="1" applyBorder="1"/>
    <xf numFmtId="0" fontId="3" fillId="0" borderId="6" xfId="4" applyFont="1" applyFill="1" applyBorder="1" applyAlignment="1">
      <alignment horizontal="left" vertical="top" wrapText="1"/>
    </xf>
    <xf numFmtId="0" fontId="27" fillId="0" borderId="3" xfId="2" applyFont="1" applyFill="1" applyBorder="1" applyAlignment="1">
      <alignment horizontal="left" wrapText="1"/>
    </xf>
    <xf numFmtId="0" fontId="3" fillId="0" borderId="17" xfId="2" applyFont="1" applyFill="1" applyBorder="1" applyAlignment="1">
      <alignment horizontal="left" vertical="top" wrapText="1"/>
    </xf>
    <xf numFmtId="165" fontId="24" fillId="0" borderId="4" xfId="2" applyNumberFormat="1" applyFont="1" applyFill="1" applyBorder="1" applyAlignment="1">
      <alignment horizontal="left"/>
    </xf>
    <xf numFmtId="0" fontId="3" fillId="0" borderId="18" xfId="2" applyFont="1" applyFill="1" applyBorder="1"/>
    <xf numFmtId="0" fontId="10" fillId="0" borderId="13" xfId="2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wrapText="1"/>
    </xf>
    <xf numFmtId="2" fontId="5" fillId="0" borderId="12" xfId="2" applyNumberFormat="1" applyFont="1" applyFill="1" applyBorder="1"/>
    <xf numFmtId="165" fontId="6" fillId="0" borderId="12" xfId="2" applyNumberFormat="1" applyFont="1" applyFill="1" applyBorder="1"/>
    <xf numFmtId="165" fontId="24" fillId="0" borderId="12" xfId="2" applyNumberFormat="1" applyFont="1" applyFill="1" applyBorder="1"/>
    <xf numFmtId="165" fontId="24" fillId="0" borderId="12" xfId="2" applyNumberFormat="1" applyFont="1" applyFill="1" applyBorder="1" applyAlignment="1">
      <alignment horizontal="left"/>
    </xf>
    <xf numFmtId="0" fontId="3" fillId="0" borderId="19" xfId="2" applyFont="1" applyFill="1" applyBorder="1"/>
    <xf numFmtId="0" fontId="10" fillId="0" borderId="19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wrapText="1"/>
    </xf>
    <xf numFmtId="0" fontId="3" fillId="0" borderId="0" xfId="2" applyFont="1" applyFill="1" applyBorder="1"/>
    <xf numFmtId="0" fontId="10" fillId="0" borderId="0" xfId="2" applyFont="1" applyFill="1" applyBorder="1" applyAlignment="1">
      <alignment horizontal="center" vertical="center" wrapText="1"/>
    </xf>
    <xf numFmtId="2" fontId="3" fillId="0" borderId="21" xfId="2" applyNumberFormat="1" applyFont="1" applyFill="1" applyBorder="1"/>
    <xf numFmtId="0" fontId="3" fillId="0" borderId="2" xfId="2" applyFont="1" applyFill="1" applyBorder="1" applyAlignment="1">
      <alignment wrapText="1"/>
    </xf>
    <xf numFmtId="2" fontId="10" fillId="0" borderId="2" xfId="2" applyNumberFormat="1" applyFont="1" applyFill="1" applyBorder="1"/>
    <xf numFmtId="2" fontId="4" fillId="0" borderId="0" xfId="2" applyNumberFormat="1" applyFont="1" applyFill="1" applyBorder="1"/>
    <xf numFmtId="2" fontId="4" fillId="0" borderId="0" xfId="2" applyNumberFormat="1" applyFont="1" applyFill="1"/>
    <xf numFmtId="0" fontId="3" fillId="0" borderId="0" xfId="2" applyFont="1" applyFill="1" applyAlignment="1">
      <alignment horizontal="center"/>
    </xf>
    <xf numFmtId="2" fontId="3" fillId="0" borderId="0" xfId="2" applyNumberFormat="1" applyFont="1" applyFill="1"/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center"/>
    </xf>
  </cellXfs>
  <cellStyles count="419">
    <cellStyle name="20% - Акцент1 2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2 2" xfId="11"/>
    <cellStyle name="20% - Акцент2 3" xfId="12"/>
    <cellStyle name="20% - Акцент2 4" xfId="13"/>
    <cellStyle name="20% - Акцент2 5" xfId="14"/>
    <cellStyle name="20% - Акцент2 6" xfId="15"/>
    <cellStyle name="20% - Акцент2 7" xfId="16"/>
    <cellStyle name="20% - Акцент3 2" xfId="17"/>
    <cellStyle name="20% - Акцент3 3" xfId="18"/>
    <cellStyle name="20% - Акцент3 4" xfId="19"/>
    <cellStyle name="20% - Акцент3 5" xfId="20"/>
    <cellStyle name="20% - Акцент3 6" xfId="21"/>
    <cellStyle name="20% - Акцент3 7" xfId="22"/>
    <cellStyle name="20% - Акцент4 2" xfId="23"/>
    <cellStyle name="20% - Акцент4 3" xfId="24"/>
    <cellStyle name="20% - Акцент4 4" xfId="25"/>
    <cellStyle name="20% - Акцент4 5" xfId="26"/>
    <cellStyle name="20% - Акцент4 6" xfId="27"/>
    <cellStyle name="20% - Акцент4 7" xfId="28"/>
    <cellStyle name="20% - Акцент5 2" xfId="29"/>
    <cellStyle name="20% - Акцент5 3" xfId="30"/>
    <cellStyle name="20% - Акцент5 4" xfId="31"/>
    <cellStyle name="20% - Акцент5 5" xfId="32"/>
    <cellStyle name="20% - Акцент5 6" xfId="33"/>
    <cellStyle name="20% - Акцент5 7" xfId="34"/>
    <cellStyle name="20% - Акцент6 2" xfId="35"/>
    <cellStyle name="20% - Акцент6 3" xfId="36"/>
    <cellStyle name="20% - Акцент6 4" xfId="37"/>
    <cellStyle name="20% - Акцент6 5" xfId="38"/>
    <cellStyle name="20% - Акцент6 6" xfId="39"/>
    <cellStyle name="20% - Акцент6 7" xfId="40"/>
    <cellStyle name="40% - Акцент1 2" xfId="41"/>
    <cellStyle name="40% - Акцент1 3" xfId="42"/>
    <cellStyle name="40% - Акцент1 4" xfId="43"/>
    <cellStyle name="40% - Акцент1 5" xfId="44"/>
    <cellStyle name="40% - Акцент1 6" xfId="45"/>
    <cellStyle name="40% - Акцент1 7" xfId="46"/>
    <cellStyle name="40% - Акцент2 2" xfId="47"/>
    <cellStyle name="40% - Акцент2 3" xfId="48"/>
    <cellStyle name="40% - Акцент2 4" xfId="49"/>
    <cellStyle name="40% - Акцент2 5" xfId="50"/>
    <cellStyle name="40% - Акцент2 6" xfId="51"/>
    <cellStyle name="40% - Акцент2 7" xfId="52"/>
    <cellStyle name="40% - Акцент3 2" xfId="53"/>
    <cellStyle name="40% - Акцент3 3" xfId="54"/>
    <cellStyle name="40% - Акцент3 4" xfId="55"/>
    <cellStyle name="40% - Акцент3 5" xfId="56"/>
    <cellStyle name="40% - Акцент3 6" xfId="57"/>
    <cellStyle name="40% - Акцент3 7" xfId="58"/>
    <cellStyle name="40% - Акцент4 2" xfId="59"/>
    <cellStyle name="40% - Акцент4 3" xfId="60"/>
    <cellStyle name="40% - Акцент4 4" xfId="61"/>
    <cellStyle name="40% - Акцент4 5" xfId="62"/>
    <cellStyle name="40% - Акцент4 6" xfId="63"/>
    <cellStyle name="40% - Акцент4 7" xfId="64"/>
    <cellStyle name="40% - Акцент5 2" xfId="65"/>
    <cellStyle name="40% - Акцент5 3" xfId="66"/>
    <cellStyle name="40% - Акцент5 4" xfId="67"/>
    <cellStyle name="40% - Акцент5 5" xfId="68"/>
    <cellStyle name="40% - Акцент5 6" xfId="69"/>
    <cellStyle name="40% - Акцент5 7" xfId="70"/>
    <cellStyle name="40% - Акцент6 2" xfId="71"/>
    <cellStyle name="40% - Акцент6 3" xfId="72"/>
    <cellStyle name="40% - Акцент6 4" xfId="73"/>
    <cellStyle name="40% - Акцент6 5" xfId="74"/>
    <cellStyle name="40% - Акцент6 6" xfId="75"/>
    <cellStyle name="40% - Акцент6 7" xfId="76"/>
    <cellStyle name="60% - Акцент1 2" xfId="77"/>
    <cellStyle name="60% - Акцент1 3" xfId="78"/>
    <cellStyle name="60% - Акцент1 4" xfId="79"/>
    <cellStyle name="60% - Акцент1 5" xfId="80"/>
    <cellStyle name="60% - Акцент1 6" xfId="81"/>
    <cellStyle name="60% - Акцент1 7" xfId="82"/>
    <cellStyle name="60% - Акцент2 2" xfId="83"/>
    <cellStyle name="60% - Акцент2 3" xfId="84"/>
    <cellStyle name="60% - Акцент2 4" xfId="85"/>
    <cellStyle name="60% - Акцент2 5" xfId="86"/>
    <cellStyle name="60% - Акцент2 6" xfId="87"/>
    <cellStyle name="60% - Акцент2 7" xfId="88"/>
    <cellStyle name="60% - Акцент3 2" xfId="89"/>
    <cellStyle name="60% - Акцент3 3" xfId="90"/>
    <cellStyle name="60% - Акцент3 4" xfId="91"/>
    <cellStyle name="60% - Акцент3 5" xfId="92"/>
    <cellStyle name="60% - Акцент3 6" xfId="93"/>
    <cellStyle name="60% - Акцент3 7" xfId="94"/>
    <cellStyle name="60% - Акцент4 2" xfId="95"/>
    <cellStyle name="60% - Акцент4 3" xfId="96"/>
    <cellStyle name="60% - Акцент4 4" xfId="97"/>
    <cellStyle name="60% - Акцент4 5" xfId="98"/>
    <cellStyle name="60% - Акцент4 6" xfId="99"/>
    <cellStyle name="60% - Акцент4 7" xfId="100"/>
    <cellStyle name="60% - Акцент5 2" xfId="101"/>
    <cellStyle name="60% - Акцент5 3" xfId="102"/>
    <cellStyle name="60% - Акцент5 4" xfId="103"/>
    <cellStyle name="60% - Акцент5 5" xfId="104"/>
    <cellStyle name="60% - Акцент5 6" xfId="105"/>
    <cellStyle name="60% - Акцент5 7" xfId="106"/>
    <cellStyle name="60% - Акцент6 2" xfId="107"/>
    <cellStyle name="60% - Акцент6 3" xfId="108"/>
    <cellStyle name="60% - Акцент6 4" xfId="109"/>
    <cellStyle name="60% - Акцент6 5" xfId="110"/>
    <cellStyle name="60% - Акцент6 6" xfId="111"/>
    <cellStyle name="60% - Акцент6 7" xfId="112"/>
    <cellStyle name="Excel Built-in Normal" xfId="113"/>
    <cellStyle name="S0" xfId="114"/>
    <cellStyle name="S1" xfId="115"/>
    <cellStyle name="S10" xfId="116"/>
    <cellStyle name="S11" xfId="117"/>
    <cellStyle name="S12" xfId="118"/>
    <cellStyle name="S13" xfId="119"/>
    <cellStyle name="S14" xfId="120"/>
    <cellStyle name="S15" xfId="121"/>
    <cellStyle name="S16" xfId="122"/>
    <cellStyle name="S17" xfId="123"/>
    <cellStyle name="S18" xfId="124"/>
    <cellStyle name="S19" xfId="125"/>
    <cellStyle name="S2" xfId="126"/>
    <cellStyle name="S20" xfId="127"/>
    <cellStyle name="S21" xfId="128"/>
    <cellStyle name="S22" xfId="129"/>
    <cellStyle name="S23" xfId="130"/>
    <cellStyle name="S24" xfId="131"/>
    <cellStyle name="S25" xfId="132"/>
    <cellStyle name="S26" xfId="133"/>
    <cellStyle name="S3" xfId="134"/>
    <cellStyle name="S4" xfId="135"/>
    <cellStyle name="S5" xfId="136"/>
    <cellStyle name="S6" xfId="137"/>
    <cellStyle name="S7" xfId="138"/>
    <cellStyle name="S8" xfId="139"/>
    <cellStyle name="S9" xfId="140"/>
    <cellStyle name="xl107" xfId="141"/>
    <cellStyle name="xl109" xfId="142"/>
    <cellStyle name="xl150" xfId="143"/>
    <cellStyle name="xl32" xfId="144"/>
    <cellStyle name="xl68" xfId="145"/>
    <cellStyle name="xl73" xfId="146"/>
    <cellStyle name="xl77" xfId="147"/>
    <cellStyle name="Акцент1 2" xfId="148"/>
    <cellStyle name="Акцент1 3" xfId="149"/>
    <cellStyle name="Акцент1 4" xfId="150"/>
    <cellStyle name="Акцент1 5" xfId="151"/>
    <cellStyle name="Акцент1 6" xfId="152"/>
    <cellStyle name="Акцент1 7" xfId="153"/>
    <cellStyle name="Акцент2 2" xfId="154"/>
    <cellStyle name="Акцент2 3" xfId="155"/>
    <cellStyle name="Акцент2 4" xfId="156"/>
    <cellStyle name="Акцент2 5" xfId="157"/>
    <cellStyle name="Акцент2 6" xfId="158"/>
    <cellStyle name="Акцент2 7" xfId="159"/>
    <cellStyle name="Акцент3 2" xfId="160"/>
    <cellStyle name="Акцент3 3" xfId="161"/>
    <cellStyle name="Акцент3 4" xfId="162"/>
    <cellStyle name="Акцент3 5" xfId="163"/>
    <cellStyle name="Акцент3 6" xfId="164"/>
    <cellStyle name="Акцент3 7" xfId="165"/>
    <cellStyle name="Акцент4 2" xfId="166"/>
    <cellStyle name="Акцент4 3" xfId="167"/>
    <cellStyle name="Акцент4 4" xfId="168"/>
    <cellStyle name="Акцент4 5" xfId="169"/>
    <cellStyle name="Акцент4 6" xfId="170"/>
    <cellStyle name="Акцент4 7" xfId="171"/>
    <cellStyle name="Акцент5 2" xfId="172"/>
    <cellStyle name="Акцент5 3" xfId="173"/>
    <cellStyle name="Акцент5 4" xfId="174"/>
    <cellStyle name="Акцент5 5" xfId="175"/>
    <cellStyle name="Акцент5 6" xfId="176"/>
    <cellStyle name="Акцент5 7" xfId="177"/>
    <cellStyle name="Акцент6 2" xfId="178"/>
    <cellStyle name="Акцент6 3" xfId="179"/>
    <cellStyle name="Акцент6 4" xfId="180"/>
    <cellStyle name="Акцент6 5" xfId="181"/>
    <cellStyle name="Акцент6 6" xfId="182"/>
    <cellStyle name="Акцент6 7" xfId="183"/>
    <cellStyle name="Ввод  2" xfId="184"/>
    <cellStyle name="Ввод  3" xfId="185"/>
    <cellStyle name="Ввод  4" xfId="186"/>
    <cellStyle name="Ввод  5" xfId="187"/>
    <cellStyle name="Ввод  6" xfId="188"/>
    <cellStyle name="Ввод  7" xfId="189"/>
    <cellStyle name="Вывод 2" xfId="190"/>
    <cellStyle name="Вывод 3" xfId="191"/>
    <cellStyle name="Вывод 4" xfId="192"/>
    <cellStyle name="Вывод 5" xfId="193"/>
    <cellStyle name="Вывод 6" xfId="194"/>
    <cellStyle name="Вывод 7" xfId="195"/>
    <cellStyle name="Вычисление 2" xfId="196"/>
    <cellStyle name="Вычисление 3" xfId="197"/>
    <cellStyle name="Вычисление 4" xfId="198"/>
    <cellStyle name="Вычисление 5" xfId="199"/>
    <cellStyle name="Вычисление 6" xfId="200"/>
    <cellStyle name="Вычисление 7" xfId="201"/>
    <cellStyle name="Денежный 2" xfId="202"/>
    <cellStyle name="Заголовок 1 2" xfId="203"/>
    <cellStyle name="Заголовок 1 3" xfId="204"/>
    <cellStyle name="Заголовок 1 4" xfId="205"/>
    <cellStyle name="Заголовок 1 5" xfId="206"/>
    <cellStyle name="Заголовок 1 6" xfId="207"/>
    <cellStyle name="Заголовок 1 7" xfId="208"/>
    <cellStyle name="Заголовок 2 2" xfId="209"/>
    <cellStyle name="Заголовок 2 3" xfId="210"/>
    <cellStyle name="Заголовок 2 4" xfId="211"/>
    <cellStyle name="Заголовок 2 5" xfId="212"/>
    <cellStyle name="Заголовок 2 6" xfId="213"/>
    <cellStyle name="Заголовок 2 7" xfId="214"/>
    <cellStyle name="Заголовок 3 2" xfId="215"/>
    <cellStyle name="Заголовок 3 3" xfId="216"/>
    <cellStyle name="Заголовок 3 4" xfId="217"/>
    <cellStyle name="Заголовок 3 5" xfId="218"/>
    <cellStyle name="Заголовок 3 6" xfId="219"/>
    <cellStyle name="Заголовок 3 7" xfId="220"/>
    <cellStyle name="Заголовок 4 2" xfId="221"/>
    <cellStyle name="Заголовок 4 3" xfId="222"/>
    <cellStyle name="Заголовок 4 4" xfId="223"/>
    <cellStyle name="Заголовок 4 5" xfId="224"/>
    <cellStyle name="Заголовок 4 6" xfId="225"/>
    <cellStyle name="Заголовок 4 7" xfId="226"/>
    <cellStyle name="Итог 2" xfId="227"/>
    <cellStyle name="Итог 3" xfId="228"/>
    <cellStyle name="Итог 4" xfId="229"/>
    <cellStyle name="Итог 5" xfId="230"/>
    <cellStyle name="Итог 6" xfId="231"/>
    <cellStyle name="Итог 7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Контрольная ячейка 7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азвание 7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Нейтральный 7" xfId="250"/>
    <cellStyle name="Обычный" xfId="0" builtinId="0"/>
    <cellStyle name="Обычный 10" xfId="251"/>
    <cellStyle name="Обычный 11" xfId="252"/>
    <cellStyle name="Обычный 12" xfId="253"/>
    <cellStyle name="Обычный 13" xfId="254"/>
    <cellStyle name="Обычный 14" xfId="255"/>
    <cellStyle name="Обычный 15" xfId="256"/>
    <cellStyle name="Обычный 16" xfId="3"/>
    <cellStyle name="Обычный 17" xfId="257"/>
    <cellStyle name="Обычный 18" xfId="258"/>
    <cellStyle name="Обычный 18 2" xfId="259"/>
    <cellStyle name="Обычный 19" xfId="260"/>
    <cellStyle name="Обычный 2" xfId="261"/>
    <cellStyle name="Обычный 2 10" xfId="262"/>
    <cellStyle name="Обычный 2 11" xfId="263"/>
    <cellStyle name="Обычный 2 12" xfId="264"/>
    <cellStyle name="Обычный 2 13" xfId="265"/>
    <cellStyle name="Обычный 2 14" xfId="266"/>
    <cellStyle name="Обычный 2 15" xfId="267"/>
    <cellStyle name="Обычный 2 16" xfId="268"/>
    <cellStyle name="Обычный 2 17" xfId="269"/>
    <cellStyle name="Обычный 2 18" xfId="270"/>
    <cellStyle name="Обычный 2 19" xfId="271"/>
    <cellStyle name="Обычный 2 2" xfId="272"/>
    <cellStyle name="Обычный 2 2 2" xfId="273"/>
    <cellStyle name="Обычный 2 2 3" xfId="274"/>
    <cellStyle name="Обычный 2 20" xfId="275"/>
    <cellStyle name="Обычный 2 21" xfId="276"/>
    <cellStyle name="Обычный 2 22" xfId="277"/>
    <cellStyle name="Обычный 2 23" xfId="278"/>
    <cellStyle name="Обычный 2 24" xfId="279"/>
    <cellStyle name="Обычный 2 25" xfId="280"/>
    <cellStyle name="Обычный 2 26" xfId="281"/>
    <cellStyle name="Обычный 2 27" xfId="282"/>
    <cellStyle name="Обычный 2 28" xfId="283"/>
    <cellStyle name="Обычный 2 29" xfId="284"/>
    <cellStyle name="Обычный 2 3" xfId="285"/>
    <cellStyle name="Обычный 2 3 2" xfId="286"/>
    <cellStyle name="Обычный 2 30" xfId="287"/>
    <cellStyle name="Обычный 2 31" xfId="288"/>
    <cellStyle name="Обычный 2 32" xfId="289"/>
    <cellStyle name="Обычный 2 33" xfId="290"/>
    <cellStyle name="Обычный 2 4" xfId="291"/>
    <cellStyle name="Обычный 2 4 2" xfId="292"/>
    <cellStyle name="Обычный 2 5" xfId="293"/>
    <cellStyle name="Обычный 2 6" xfId="294"/>
    <cellStyle name="Обычный 2 7" xfId="295"/>
    <cellStyle name="Обычный 2 8" xfId="296"/>
    <cellStyle name="Обычный 2 9" xfId="297"/>
    <cellStyle name="Обычный 20" xfId="298"/>
    <cellStyle name="Обычный 21" xfId="299"/>
    <cellStyle name="Обычный 22" xfId="300"/>
    <cellStyle name="Обычный 3" xfId="301"/>
    <cellStyle name="Обычный 3 10" xfId="302"/>
    <cellStyle name="Обычный 3 11" xfId="303"/>
    <cellStyle name="Обычный 3 12" xfId="304"/>
    <cellStyle name="Обычный 3 13" xfId="305"/>
    <cellStyle name="Обычный 3 14" xfId="306"/>
    <cellStyle name="Обычный 3 15" xfId="307"/>
    <cellStyle name="Обычный 3 16" xfId="308"/>
    <cellStyle name="Обычный 3 17" xfId="309"/>
    <cellStyle name="Обычный 3 18" xfId="310"/>
    <cellStyle name="Обычный 3 19" xfId="311"/>
    <cellStyle name="Обычный 3 2" xfId="312"/>
    <cellStyle name="Обычный 3 2 2" xfId="313"/>
    <cellStyle name="Обычный 3 20" xfId="314"/>
    <cellStyle name="Обычный 3 21" xfId="315"/>
    <cellStyle name="Обычный 3 22" xfId="316"/>
    <cellStyle name="Обычный 3 23" xfId="317"/>
    <cellStyle name="Обычный 3 24" xfId="318"/>
    <cellStyle name="Обычный 3 25" xfId="319"/>
    <cellStyle name="Обычный 3 26" xfId="320"/>
    <cellStyle name="Обычный 3 27" xfId="321"/>
    <cellStyle name="Обычный 3 28" xfId="322"/>
    <cellStyle name="Обычный 3 29" xfId="323"/>
    <cellStyle name="Обычный 3 3" xfId="324"/>
    <cellStyle name="Обычный 3 30" xfId="325"/>
    <cellStyle name="Обычный 3 31" xfId="326"/>
    <cellStyle name="Обычный 3 32" xfId="327"/>
    <cellStyle name="Обычный 3 33" xfId="328"/>
    <cellStyle name="Обычный 3 4" xfId="329"/>
    <cellStyle name="Обычный 3 5" xfId="330"/>
    <cellStyle name="Обычный 3 6" xfId="331"/>
    <cellStyle name="Обычный 3 7" xfId="332"/>
    <cellStyle name="Обычный 3 8" xfId="333"/>
    <cellStyle name="Обычный 3 9" xfId="334"/>
    <cellStyle name="Обычный 4" xfId="335"/>
    <cellStyle name="Обычный 4 10" xfId="336"/>
    <cellStyle name="Обычный 4 11" xfId="337"/>
    <cellStyle name="Обычный 4 12" xfId="338"/>
    <cellStyle name="Обычный 4 13" xfId="339"/>
    <cellStyle name="Обычный 4 14" xfId="340"/>
    <cellStyle name="Обычный 4 15" xfId="341"/>
    <cellStyle name="Обычный 4 16" xfId="342"/>
    <cellStyle name="Обычный 4 17" xfId="343"/>
    <cellStyle name="Обычный 4 18" xfId="344"/>
    <cellStyle name="Обычный 4 19" xfId="345"/>
    <cellStyle name="Обычный 4 2" xfId="346"/>
    <cellStyle name="Обычный 4 20" xfId="347"/>
    <cellStyle name="Обычный 4 21" xfId="348"/>
    <cellStyle name="Обычный 4 22" xfId="349"/>
    <cellStyle name="Обычный 4 23" xfId="350"/>
    <cellStyle name="Обычный 4 24" xfId="351"/>
    <cellStyle name="Обычный 4 25" xfId="352"/>
    <cellStyle name="Обычный 4 26" xfId="353"/>
    <cellStyle name="Обычный 4 27" xfId="354"/>
    <cellStyle name="Обычный 4 28" xfId="355"/>
    <cellStyle name="Обычный 4 29" xfId="356"/>
    <cellStyle name="Обычный 4 3" xfId="357"/>
    <cellStyle name="Обычный 4 30" xfId="358"/>
    <cellStyle name="Обычный 4 31" xfId="359"/>
    <cellStyle name="Обычный 4 4" xfId="360"/>
    <cellStyle name="Обычный 4 5" xfId="361"/>
    <cellStyle name="Обычный 4 6" xfId="362"/>
    <cellStyle name="Обычный 4 7" xfId="363"/>
    <cellStyle name="Обычный 4 8" xfId="364"/>
    <cellStyle name="Обычный 4 9" xfId="365"/>
    <cellStyle name="Обычный 5" xfId="4"/>
    <cellStyle name="Обычный 5 2" xfId="366"/>
    <cellStyle name="Обычный 5 3" xfId="2"/>
    <cellStyle name="Обычный 6" xfId="367"/>
    <cellStyle name="Обычный 7" xfId="368"/>
    <cellStyle name="Обычный 8" xfId="369"/>
    <cellStyle name="Обычный 9" xfId="370"/>
    <cellStyle name="Плохой 2" xfId="371"/>
    <cellStyle name="Плохой 3" xfId="372"/>
    <cellStyle name="Плохой 4" xfId="373"/>
    <cellStyle name="Плохой 5" xfId="374"/>
    <cellStyle name="Плохой 6" xfId="375"/>
    <cellStyle name="Плохой 7" xfId="376"/>
    <cellStyle name="Пояснение 2" xfId="377"/>
    <cellStyle name="Пояснение 3" xfId="378"/>
    <cellStyle name="Пояснение 4" xfId="379"/>
    <cellStyle name="Пояснение 5" xfId="380"/>
    <cellStyle name="Пояснение 6" xfId="381"/>
    <cellStyle name="Пояснение 7" xfId="382"/>
    <cellStyle name="Примечание 2" xfId="383"/>
    <cellStyle name="Примечание 3" xfId="384"/>
    <cellStyle name="Примечание 4" xfId="385"/>
    <cellStyle name="Примечание 5" xfId="386"/>
    <cellStyle name="Примечание 6" xfId="387"/>
    <cellStyle name="Примечание 7" xfId="388"/>
    <cellStyle name="Процентный 2" xfId="389"/>
    <cellStyle name="Связанная ячейка 2" xfId="390"/>
    <cellStyle name="Связанная ячейка 3" xfId="391"/>
    <cellStyle name="Связанная ячейка 4" xfId="392"/>
    <cellStyle name="Связанная ячейка 5" xfId="393"/>
    <cellStyle name="Связанная ячейка 6" xfId="394"/>
    <cellStyle name="Связанная ячейка 7" xfId="395"/>
    <cellStyle name="Текст предупреждения 2" xfId="396"/>
    <cellStyle name="Текст предупреждения 3" xfId="397"/>
    <cellStyle name="Текст предупреждения 4" xfId="398"/>
    <cellStyle name="Текст предупреждения 5" xfId="399"/>
    <cellStyle name="Текст предупреждения 6" xfId="400"/>
    <cellStyle name="Текст предупреждения 7" xfId="401"/>
    <cellStyle name="Тысячи [0]_перечис.11" xfId="402"/>
    <cellStyle name="Тысячи_перечис.11" xfId="403"/>
    <cellStyle name="Финансовый" xfId="1" builtinId="3"/>
    <cellStyle name="Финансовый 13" xfId="404"/>
    <cellStyle name="Финансовый 2" xfId="405"/>
    <cellStyle name="Финансовый 2 2" xfId="406"/>
    <cellStyle name="Финансовый 3" xfId="407"/>
    <cellStyle name="Финансовый 3 2" xfId="408"/>
    <cellStyle name="Финансовый 4" xfId="409"/>
    <cellStyle name="Финансовый 5" xfId="410"/>
    <cellStyle name="Финансовый 9" xfId="411"/>
    <cellStyle name="Хороший 2" xfId="412"/>
    <cellStyle name="Хороший 3" xfId="413"/>
    <cellStyle name="Хороший 4" xfId="414"/>
    <cellStyle name="Хороший 5" xfId="415"/>
    <cellStyle name="Хороший 6" xfId="416"/>
    <cellStyle name="Хороший 7" xfId="417"/>
    <cellStyle name="Хороший 8" xfId="4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\&#1041;&#1070;&#1044;&#1046;&#1045;&#1058;%202019-2021\&#1064;&#1090;&#1072;&#1090;&#1085;%20&#1088;&#1072;&#1089;&#1087;%20&#1085;&#1072;%2001.09.2018&#1075;%20&#1076;&#1083;&#1103;%20&#1088;&#1072;&#1089;&#1095;&#1077;&#1090;&#1086;&#1074;%20&#1085;&#1072;%202019&#1075;\&#1058;&#1072;&#1073;&#1083;%20-&#1088;&#1072;&#1089;&#1095;&#1077;&#1090;&#1099;%20&#1087;&#1086;%20&#1060;&#1054;&#1058;%20&#1085;&#1072;%202019&#1075;\&#1059;&#1087;&#1088;&#1072;&#1074;&#1083;&#1077;&#1085;&#1080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&#1076;&#1080;&#1089;&#1082;/&#1076;&#1086;&#1082;&#1091;&#1084;&#1077;&#1085;&#1090;&#1099;/&#1041;&#1070;&#1044;&#1046;&#1045;&#1058;%202022--2024&#1075;&#1075;/&#1041;&#1070;&#1044;&#1046;&#1045;&#1058;%2022-24&#1075;&#1075;%202%20&#1063;&#1058;&#1045;&#1053;/&#1056;&#1040;&#1057;&#1055;&#1056;&#1045;&#1044;%20&#1056;&#1040;&#1057;&#1061;%20&#1053;&#1040;%202%20&#1063;&#1058;-2022%20&#1075;&#1086;&#1076;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\&#1041;&#1070;&#1044;&#1046;&#1045;&#1058;%202019-2021\2-&#1077;%20&#1095;&#1090;&#1077;&#1085;&#1080;&#1077;\&#1057;&#1042;&#1054;&#1044;%20&#1060;&#1054;&#1058;%2019%20&#1075;%20%202-&#1081;%20&#1074;&#1072;&#10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6;&#1086;&#1082;&#1091;&#1084;&#1077;&#1085;&#1090;&#1099;\RABOTA%202019\&#1060;&#1054;&#1058;%202019&#1075;\&#1050;%20&#1080;&#1079;&#1084;&#1077;&#1085;%20&#1089;&#1090;&#1088;&#1091;&#1082;&#1090;&#1091;&#1088;&#1099;\&#1053;&#1057;&#1054;&#1058;%20&#1089;%2001.01.2019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окр "/>
      <sheetName val="СВОД Управл"/>
      <sheetName val="Совет деп"/>
      <sheetName val="Строит.отдел"/>
      <sheetName val="сх отдел"/>
      <sheetName val="Админ"/>
      <sheetName val="тех.персонал "/>
      <sheetName val="КСП"/>
      <sheetName val="НСОТ"/>
      <sheetName val="Архив"/>
      <sheetName val="КДН"/>
      <sheetName val="Программист"/>
      <sheetName val="РайОО"/>
      <sheetName val="Культура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ТР 2020  2  чт окончат."/>
      <sheetName val="СВОД ПОТРЕБ 2 ЧТ. "/>
      <sheetName val="РАСПРЕД НА 2 ЧТЕНИЕ"/>
      <sheetName val="2938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на 2019 год"/>
      <sheetName val="СВОД 2019 рабоч"/>
      <sheetName val="СВОД Управл  на 2019"/>
      <sheetName val="свод МКУ и мет и хоз гр"/>
      <sheetName val="Культура"/>
      <sheetName val="Культ ДК"/>
      <sheetName val="Культура Указы 2019"/>
      <sheetName val="Доп обр Указы2019"/>
      <sheetName val="Лист3"/>
      <sheetName val="Культ без техперс"/>
      <sheetName val="Культ Указы 2019 без техперс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СОТ РайОО"/>
      <sheetName val="НСОТ УФ"/>
      <sheetName val="НСОт Культ"/>
      <sheetName val="Лист4"/>
      <sheetName val="НСОТ "/>
      <sheetName val="Мун сл с 01.01.19"/>
      <sheetName val="Мун сл с 01.01.19гнов стрра"/>
      <sheetName val="Сцубвен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3"/>
  <sheetViews>
    <sheetView tabSelected="1" view="pageBreakPreview" zoomScale="60" zoomScaleNormal="100" workbookViewId="0">
      <selection activeCell="N170" sqref="N170:O170"/>
    </sheetView>
  </sheetViews>
  <sheetFormatPr defaultRowHeight="18.75" x14ac:dyDescent="0.3"/>
  <cols>
    <col min="1" max="1" width="8.5703125" style="1" customWidth="1"/>
    <col min="2" max="2" width="34.28515625" style="2" customWidth="1"/>
    <col min="3" max="3" width="5" style="159" hidden="1" customWidth="1"/>
    <col min="4" max="4" width="10" style="159" hidden="1" customWidth="1"/>
    <col min="5" max="5" width="12.7109375" style="159" hidden="1" customWidth="1"/>
    <col min="6" max="6" width="14" style="1" hidden="1" customWidth="1"/>
    <col min="7" max="9" width="13.42578125" style="1" hidden="1" customWidth="1"/>
    <col min="10" max="10" width="19.85546875" style="3" customWidth="1"/>
    <col min="11" max="12" width="12.85546875" style="3" customWidth="1"/>
    <col min="13" max="13" width="16.85546875" style="3" customWidth="1"/>
    <col min="14" max="19" width="12.85546875" style="3" customWidth="1"/>
    <col min="20" max="20" width="15.85546875" style="3" customWidth="1"/>
    <col min="21" max="23" width="12.85546875" style="3" customWidth="1"/>
    <col min="24" max="24" width="14.7109375" style="3" customWidth="1"/>
    <col min="25" max="29" width="12.85546875" style="3" customWidth="1"/>
    <col min="30" max="30" width="14.7109375" style="3" customWidth="1"/>
    <col min="31" max="31" width="10.140625" style="1" customWidth="1"/>
    <col min="32" max="265" width="9.140625" style="1"/>
    <col min="266" max="266" width="34.28515625" style="1" customWidth="1"/>
    <col min="267" max="267" width="7" style="1" customWidth="1"/>
    <col min="268" max="268" width="0" style="1" hidden="1" customWidth="1"/>
    <col min="269" max="269" width="13.85546875" style="1" customWidth="1"/>
    <col min="270" max="270" width="10.7109375" style="1" customWidth="1"/>
    <col min="271" max="271" width="11.28515625" style="1" customWidth="1"/>
    <col min="272" max="272" width="12.42578125" style="1" customWidth="1"/>
    <col min="273" max="274" width="10.5703125" style="1" customWidth="1"/>
    <col min="275" max="275" width="10.85546875" style="1" customWidth="1"/>
    <col min="276" max="276" width="11.28515625" style="1" customWidth="1"/>
    <col min="277" max="277" width="10" style="1" customWidth="1"/>
    <col min="278" max="278" width="11.7109375" style="1" customWidth="1"/>
    <col min="279" max="279" width="10.140625" style="1" customWidth="1"/>
    <col min="280" max="280" width="8.28515625" style="1" customWidth="1"/>
    <col min="281" max="281" width="7.85546875" style="1" customWidth="1"/>
    <col min="282" max="282" width="9.28515625" style="1" customWidth="1"/>
    <col min="283" max="283" width="9.140625" style="1" customWidth="1"/>
    <col min="284" max="284" width="10.28515625" style="1" customWidth="1"/>
    <col min="285" max="285" width="13.42578125" style="1" customWidth="1"/>
    <col min="286" max="286" width="8.42578125" style="1" customWidth="1"/>
    <col min="287" max="287" width="10.140625" style="1" customWidth="1"/>
    <col min="288" max="521" width="9.140625" style="1"/>
    <col min="522" max="522" width="34.28515625" style="1" customWidth="1"/>
    <col min="523" max="523" width="7" style="1" customWidth="1"/>
    <col min="524" max="524" width="0" style="1" hidden="1" customWidth="1"/>
    <col min="525" max="525" width="13.85546875" style="1" customWidth="1"/>
    <col min="526" max="526" width="10.7109375" style="1" customWidth="1"/>
    <col min="527" max="527" width="11.28515625" style="1" customWidth="1"/>
    <col min="528" max="528" width="12.42578125" style="1" customWidth="1"/>
    <col min="529" max="530" width="10.5703125" style="1" customWidth="1"/>
    <col min="531" max="531" width="10.85546875" style="1" customWidth="1"/>
    <col min="532" max="532" width="11.28515625" style="1" customWidth="1"/>
    <col min="533" max="533" width="10" style="1" customWidth="1"/>
    <col min="534" max="534" width="11.7109375" style="1" customWidth="1"/>
    <col min="535" max="535" width="10.140625" style="1" customWidth="1"/>
    <col min="536" max="536" width="8.28515625" style="1" customWidth="1"/>
    <col min="537" max="537" width="7.85546875" style="1" customWidth="1"/>
    <col min="538" max="538" width="9.28515625" style="1" customWidth="1"/>
    <col min="539" max="539" width="9.140625" style="1" customWidth="1"/>
    <col min="540" max="540" width="10.28515625" style="1" customWidth="1"/>
    <col min="541" max="541" width="13.42578125" style="1" customWidth="1"/>
    <col min="542" max="542" width="8.42578125" style="1" customWidth="1"/>
    <col min="543" max="543" width="10.140625" style="1" customWidth="1"/>
    <col min="544" max="777" width="9.140625" style="1"/>
    <col min="778" max="778" width="34.28515625" style="1" customWidth="1"/>
    <col min="779" max="779" width="7" style="1" customWidth="1"/>
    <col min="780" max="780" width="0" style="1" hidden="1" customWidth="1"/>
    <col min="781" max="781" width="13.85546875" style="1" customWidth="1"/>
    <col min="782" max="782" width="10.7109375" style="1" customWidth="1"/>
    <col min="783" max="783" width="11.28515625" style="1" customWidth="1"/>
    <col min="784" max="784" width="12.42578125" style="1" customWidth="1"/>
    <col min="785" max="786" width="10.5703125" style="1" customWidth="1"/>
    <col min="787" max="787" width="10.85546875" style="1" customWidth="1"/>
    <col min="788" max="788" width="11.28515625" style="1" customWidth="1"/>
    <col min="789" max="789" width="10" style="1" customWidth="1"/>
    <col min="790" max="790" width="11.7109375" style="1" customWidth="1"/>
    <col min="791" max="791" width="10.140625" style="1" customWidth="1"/>
    <col min="792" max="792" width="8.28515625" style="1" customWidth="1"/>
    <col min="793" max="793" width="7.85546875" style="1" customWidth="1"/>
    <col min="794" max="794" width="9.28515625" style="1" customWidth="1"/>
    <col min="795" max="795" width="9.140625" style="1" customWidth="1"/>
    <col min="796" max="796" width="10.28515625" style="1" customWidth="1"/>
    <col min="797" max="797" width="13.42578125" style="1" customWidth="1"/>
    <col min="798" max="798" width="8.42578125" style="1" customWidth="1"/>
    <col min="799" max="799" width="10.140625" style="1" customWidth="1"/>
    <col min="800" max="1033" width="9.140625" style="1"/>
    <col min="1034" max="1034" width="34.28515625" style="1" customWidth="1"/>
    <col min="1035" max="1035" width="7" style="1" customWidth="1"/>
    <col min="1036" max="1036" width="0" style="1" hidden="1" customWidth="1"/>
    <col min="1037" max="1037" width="13.85546875" style="1" customWidth="1"/>
    <col min="1038" max="1038" width="10.7109375" style="1" customWidth="1"/>
    <col min="1039" max="1039" width="11.28515625" style="1" customWidth="1"/>
    <col min="1040" max="1040" width="12.42578125" style="1" customWidth="1"/>
    <col min="1041" max="1042" width="10.5703125" style="1" customWidth="1"/>
    <col min="1043" max="1043" width="10.85546875" style="1" customWidth="1"/>
    <col min="1044" max="1044" width="11.28515625" style="1" customWidth="1"/>
    <col min="1045" max="1045" width="10" style="1" customWidth="1"/>
    <col min="1046" max="1046" width="11.7109375" style="1" customWidth="1"/>
    <col min="1047" max="1047" width="10.140625" style="1" customWidth="1"/>
    <col min="1048" max="1048" width="8.28515625" style="1" customWidth="1"/>
    <col min="1049" max="1049" width="7.85546875" style="1" customWidth="1"/>
    <col min="1050" max="1050" width="9.28515625" style="1" customWidth="1"/>
    <col min="1051" max="1051" width="9.140625" style="1" customWidth="1"/>
    <col min="1052" max="1052" width="10.28515625" style="1" customWidth="1"/>
    <col min="1053" max="1053" width="13.42578125" style="1" customWidth="1"/>
    <col min="1054" max="1054" width="8.42578125" style="1" customWidth="1"/>
    <col min="1055" max="1055" width="10.140625" style="1" customWidth="1"/>
    <col min="1056" max="1289" width="9.140625" style="1"/>
    <col min="1290" max="1290" width="34.28515625" style="1" customWidth="1"/>
    <col min="1291" max="1291" width="7" style="1" customWidth="1"/>
    <col min="1292" max="1292" width="0" style="1" hidden="1" customWidth="1"/>
    <col min="1293" max="1293" width="13.85546875" style="1" customWidth="1"/>
    <col min="1294" max="1294" width="10.7109375" style="1" customWidth="1"/>
    <col min="1295" max="1295" width="11.28515625" style="1" customWidth="1"/>
    <col min="1296" max="1296" width="12.42578125" style="1" customWidth="1"/>
    <col min="1297" max="1298" width="10.5703125" style="1" customWidth="1"/>
    <col min="1299" max="1299" width="10.85546875" style="1" customWidth="1"/>
    <col min="1300" max="1300" width="11.28515625" style="1" customWidth="1"/>
    <col min="1301" max="1301" width="10" style="1" customWidth="1"/>
    <col min="1302" max="1302" width="11.7109375" style="1" customWidth="1"/>
    <col min="1303" max="1303" width="10.140625" style="1" customWidth="1"/>
    <col min="1304" max="1304" width="8.28515625" style="1" customWidth="1"/>
    <col min="1305" max="1305" width="7.85546875" style="1" customWidth="1"/>
    <col min="1306" max="1306" width="9.28515625" style="1" customWidth="1"/>
    <col min="1307" max="1307" width="9.140625" style="1" customWidth="1"/>
    <col min="1308" max="1308" width="10.28515625" style="1" customWidth="1"/>
    <col min="1309" max="1309" width="13.42578125" style="1" customWidth="1"/>
    <col min="1310" max="1310" width="8.42578125" style="1" customWidth="1"/>
    <col min="1311" max="1311" width="10.140625" style="1" customWidth="1"/>
    <col min="1312" max="1545" width="9.140625" style="1"/>
    <col min="1546" max="1546" width="34.28515625" style="1" customWidth="1"/>
    <col min="1547" max="1547" width="7" style="1" customWidth="1"/>
    <col min="1548" max="1548" width="0" style="1" hidden="1" customWidth="1"/>
    <col min="1549" max="1549" width="13.85546875" style="1" customWidth="1"/>
    <col min="1550" max="1550" width="10.7109375" style="1" customWidth="1"/>
    <col min="1551" max="1551" width="11.28515625" style="1" customWidth="1"/>
    <col min="1552" max="1552" width="12.42578125" style="1" customWidth="1"/>
    <col min="1553" max="1554" width="10.5703125" style="1" customWidth="1"/>
    <col min="1555" max="1555" width="10.85546875" style="1" customWidth="1"/>
    <col min="1556" max="1556" width="11.28515625" style="1" customWidth="1"/>
    <col min="1557" max="1557" width="10" style="1" customWidth="1"/>
    <col min="1558" max="1558" width="11.7109375" style="1" customWidth="1"/>
    <col min="1559" max="1559" width="10.140625" style="1" customWidth="1"/>
    <col min="1560" max="1560" width="8.28515625" style="1" customWidth="1"/>
    <col min="1561" max="1561" width="7.85546875" style="1" customWidth="1"/>
    <col min="1562" max="1562" width="9.28515625" style="1" customWidth="1"/>
    <col min="1563" max="1563" width="9.140625" style="1" customWidth="1"/>
    <col min="1564" max="1564" width="10.28515625" style="1" customWidth="1"/>
    <col min="1565" max="1565" width="13.42578125" style="1" customWidth="1"/>
    <col min="1566" max="1566" width="8.42578125" style="1" customWidth="1"/>
    <col min="1567" max="1567" width="10.140625" style="1" customWidth="1"/>
    <col min="1568" max="1801" width="9.140625" style="1"/>
    <col min="1802" max="1802" width="34.28515625" style="1" customWidth="1"/>
    <col min="1803" max="1803" width="7" style="1" customWidth="1"/>
    <col min="1804" max="1804" width="0" style="1" hidden="1" customWidth="1"/>
    <col min="1805" max="1805" width="13.85546875" style="1" customWidth="1"/>
    <col min="1806" max="1806" width="10.7109375" style="1" customWidth="1"/>
    <col min="1807" max="1807" width="11.28515625" style="1" customWidth="1"/>
    <col min="1808" max="1808" width="12.42578125" style="1" customWidth="1"/>
    <col min="1809" max="1810" width="10.5703125" style="1" customWidth="1"/>
    <col min="1811" max="1811" width="10.85546875" style="1" customWidth="1"/>
    <col min="1812" max="1812" width="11.28515625" style="1" customWidth="1"/>
    <col min="1813" max="1813" width="10" style="1" customWidth="1"/>
    <col min="1814" max="1814" width="11.7109375" style="1" customWidth="1"/>
    <col min="1815" max="1815" width="10.140625" style="1" customWidth="1"/>
    <col min="1816" max="1816" width="8.28515625" style="1" customWidth="1"/>
    <col min="1817" max="1817" width="7.85546875" style="1" customWidth="1"/>
    <col min="1818" max="1818" width="9.28515625" style="1" customWidth="1"/>
    <col min="1819" max="1819" width="9.140625" style="1" customWidth="1"/>
    <col min="1820" max="1820" width="10.28515625" style="1" customWidth="1"/>
    <col min="1821" max="1821" width="13.42578125" style="1" customWidth="1"/>
    <col min="1822" max="1822" width="8.42578125" style="1" customWidth="1"/>
    <col min="1823" max="1823" width="10.140625" style="1" customWidth="1"/>
    <col min="1824" max="2057" width="9.140625" style="1"/>
    <col min="2058" max="2058" width="34.28515625" style="1" customWidth="1"/>
    <col min="2059" max="2059" width="7" style="1" customWidth="1"/>
    <col min="2060" max="2060" width="0" style="1" hidden="1" customWidth="1"/>
    <col min="2061" max="2061" width="13.85546875" style="1" customWidth="1"/>
    <col min="2062" max="2062" width="10.7109375" style="1" customWidth="1"/>
    <col min="2063" max="2063" width="11.28515625" style="1" customWidth="1"/>
    <col min="2064" max="2064" width="12.42578125" style="1" customWidth="1"/>
    <col min="2065" max="2066" width="10.5703125" style="1" customWidth="1"/>
    <col min="2067" max="2067" width="10.85546875" style="1" customWidth="1"/>
    <col min="2068" max="2068" width="11.28515625" style="1" customWidth="1"/>
    <col min="2069" max="2069" width="10" style="1" customWidth="1"/>
    <col min="2070" max="2070" width="11.7109375" style="1" customWidth="1"/>
    <col min="2071" max="2071" width="10.140625" style="1" customWidth="1"/>
    <col min="2072" max="2072" width="8.28515625" style="1" customWidth="1"/>
    <col min="2073" max="2073" width="7.85546875" style="1" customWidth="1"/>
    <col min="2074" max="2074" width="9.28515625" style="1" customWidth="1"/>
    <col min="2075" max="2075" width="9.140625" style="1" customWidth="1"/>
    <col min="2076" max="2076" width="10.28515625" style="1" customWidth="1"/>
    <col min="2077" max="2077" width="13.42578125" style="1" customWidth="1"/>
    <col min="2078" max="2078" width="8.42578125" style="1" customWidth="1"/>
    <col min="2079" max="2079" width="10.140625" style="1" customWidth="1"/>
    <col min="2080" max="2313" width="9.140625" style="1"/>
    <col min="2314" max="2314" width="34.28515625" style="1" customWidth="1"/>
    <col min="2315" max="2315" width="7" style="1" customWidth="1"/>
    <col min="2316" max="2316" width="0" style="1" hidden="1" customWidth="1"/>
    <col min="2317" max="2317" width="13.85546875" style="1" customWidth="1"/>
    <col min="2318" max="2318" width="10.7109375" style="1" customWidth="1"/>
    <col min="2319" max="2319" width="11.28515625" style="1" customWidth="1"/>
    <col min="2320" max="2320" width="12.42578125" style="1" customWidth="1"/>
    <col min="2321" max="2322" width="10.5703125" style="1" customWidth="1"/>
    <col min="2323" max="2323" width="10.85546875" style="1" customWidth="1"/>
    <col min="2324" max="2324" width="11.28515625" style="1" customWidth="1"/>
    <col min="2325" max="2325" width="10" style="1" customWidth="1"/>
    <col min="2326" max="2326" width="11.7109375" style="1" customWidth="1"/>
    <col min="2327" max="2327" width="10.140625" style="1" customWidth="1"/>
    <col min="2328" max="2328" width="8.28515625" style="1" customWidth="1"/>
    <col min="2329" max="2329" width="7.85546875" style="1" customWidth="1"/>
    <col min="2330" max="2330" width="9.28515625" style="1" customWidth="1"/>
    <col min="2331" max="2331" width="9.140625" style="1" customWidth="1"/>
    <col min="2332" max="2332" width="10.28515625" style="1" customWidth="1"/>
    <col min="2333" max="2333" width="13.42578125" style="1" customWidth="1"/>
    <col min="2334" max="2334" width="8.42578125" style="1" customWidth="1"/>
    <col min="2335" max="2335" width="10.140625" style="1" customWidth="1"/>
    <col min="2336" max="2569" width="9.140625" style="1"/>
    <col min="2570" max="2570" width="34.28515625" style="1" customWidth="1"/>
    <col min="2571" max="2571" width="7" style="1" customWidth="1"/>
    <col min="2572" max="2572" width="0" style="1" hidden="1" customWidth="1"/>
    <col min="2573" max="2573" width="13.85546875" style="1" customWidth="1"/>
    <col min="2574" max="2574" width="10.7109375" style="1" customWidth="1"/>
    <col min="2575" max="2575" width="11.28515625" style="1" customWidth="1"/>
    <col min="2576" max="2576" width="12.42578125" style="1" customWidth="1"/>
    <col min="2577" max="2578" width="10.5703125" style="1" customWidth="1"/>
    <col min="2579" max="2579" width="10.85546875" style="1" customWidth="1"/>
    <col min="2580" max="2580" width="11.28515625" style="1" customWidth="1"/>
    <col min="2581" max="2581" width="10" style="1" customWidth="1"/>
    <col min="2582" max="2582" width="11.7109375" style="1" customWidth="1"/>
    <col min="2583" max="2583" width="10.140625" style="1" customWidth="1"/>
    <col min="2584" max="2584" width="8.28515625" style="1" customWidth="1"/>
    <col min="2585" max="2585" width="7.85546875" style="1" customWidth="1"/>
    <col min="2586" max="2586" width="9.28515625" style="1" customWidth="1"/>
    <col min="2587" max="2587" width="9.140625" style="1" customWidth="1"/>
    <col min="2588" max="2588" width="10.28515625" style="1" customWidth="1"/>
    <col min="2589" max="2589" width="13.42578125" style="1" customWidth="1"/>
    <col min="2590" max="2590" width="8.42578125" style="1" customWidth="1"/>
    <col min="2591" max="2591" width="10.140625" style="1" customWidth="1"/>
    <col min="2592" max="2825" width="9.140625" style="1"/>
    <col min="2826" max="2826" width="34.28515625" style="1" customWidth="1"/>
    <col min="2827" max="2827" width="7" style="1" customWidth="1"/>
    <col min="2828" max="2828" width="0" style="1" hidden="1" customWidth="1"/>
    <col min="2829" max="2829" width="13.85546875" style="1" customWidth="1"/>
    <col min="2830" max="2830" width="10.7109375" style="1" customWidth="1"/>
    <col min="2831" max="2831" width="11.28515625" style="1" customWidth="1"/>
    <col min="2832" max="2832" width="12.42578125" style="1" customWidth="1"/>
    <col min="2833" max="2834" width="10.5703125" style="1" customWidth="1"/>
    <col min="2835" max="2835" width="10.85546875" style="1" customWidth="1"/>
    <col min="2836" max="2836" width="11.28515625" style="1" customWidth="1"/>
    <col min="2837" max="2837" width="10" style="1" customWidth="1"/>
    <col min="2838" max="2838" width="11.7109375" style="1" customWidth="1"/>
    <col min="2839" max="2839" width="10.140625" style="1" customWidth="1"/>
    <col min="2840" max="2840" width="8.28515625" style="1" customWidth="1"/>
    <col min="2841" max="2841" width="7.85546875" style="1" customWidth="1"/>
    <col min="2842" max="2842" width="9.28515625" style="1" customWidth="1"/>
    <col min="2843" max="2843" width="9.140625" style="1" customWidth="1"/>
    <col min="2844" max="2844" width="10.28515625" style="1" customWidth="1"/>
    <col min="2845" max="2845" width="13.42578125" style="1" customWidth="1"/>
    <col min="2846" max="2846" width="8.42578125" style="1" customWidth="1"/>
    <col min="2847" max="2847" width="10.140625" style="1" customWidth="1"/>
    <col min="2848" max="3081" width="9.140625" style="1"/>
    <col min="3082" max="3082" width="34.28515625" style="1" customWidth="1"/>
    <col min="3083" max="3083" width="7" style="1" customWidth="1"/>
    <col min="3084" max="3084" width="0" style="1" hidden="1" customWidth="1"/>
    <col min="3085" max="3085" width="13.85546875" style="1" customWidth="1"/>
    <col min="3086" max="3086" width="10.7109375" style="1" customWidth="1"/>
    <col min="3087" max="3087" width="11.28515625" style="1" customWidth="1"/>
    <col min="3088" max="3088" width="12.42578125" style="1" customWidth="1"/>
    <col min="3089" max="3090" width="10.5703125" style="1" customWidth="1"/>
    <col min="3091" max="3091" width="10.85546875" style="1" customWidth="1"/>
    <col min="3092" max="3092" width="11.28515625" style="1" customWidth="1"/>
    <col min="3093" max="3093" width="10" style="1" customWidth="1"/>
    <col min="3094" max="3094" width="11.7109375" style="1" customWidth="1"/>
    <col min="3095" max="3095" width="10.140625" style="1" customWidth="1"/>
    <col min="3096" max="3096" width="8.28515625" style="1" customWidth="1"/>
    <col min="3097" max="3097" width="7.85546875" style="1" customWidth="1"/>
    <col min="3098" max="3098" width="9.28515625" style="1" customWidth="1"/>
    <col min="3099" max="3099" width="9.140625" style="1" customWidth="1"/>
    <col min="3100" max="3100" width="10.28515625" style="1" customWidth="1"/>
    <col min="3101" max="3101" width="13.42578125" style="1" customWidth="1"/>
    <col min="3102" max="3102" width="8.42578125" style="1" customWidth="1"/>
    <col min="3103" max="3103" width="10.140625" style="1" customWidth="1"/>
    <col min="3104" max="3337" width="9.140625" style="1"/>
    <col min="3338" max="3338" width="34.28515625" style="1" customWidth="1"/>
    <col min="3339" max="3339" width="7" style="1" customWidth="1"/>
    <col min="3340" max="3340" width="0" style="1" hidden="1" customWidth="1"/>
    <col min="3341" max="3341" width="13.85546875" style="1" customWidth="1"/>
    <col min="3342" max="3342" width="10.7109375" style="1" customWidth="1"/>
    <col min="3343" max="3343" width="11.28515625" style="1" customWidth="1"/>
    <col min="3344" max="3344" width="12.42578125" style="1" customWidth="1"/>
    <col min="3345" max="3346" width="10.5703125" style="1" customWidth="1"/>
    <col min="3347" max="3347" width="10.85546875" style="1" customWidth="1"/>
    <col min="3348" max="3348" width="11.28515625" style="1" customWidth="1"/>
    <col min="3349" max="3349" width="10" style="1" customWidth="1"/>
    <col min="3350" max="3350" width="11.7109375" style="1" customWidth="1"/>
    <col min="3351" max="3351" width="10.140625" style="1" customWidth="1"/>
    <col min="3352" max="3352" width="8.28515625" style="1" customWidth="1"/>
    <col min="3353" max="3353" width="7.85546875" style="1" customWidth="1"/>
    <col min="3354" max="3354" width="9.28515625" style="1" customWidth="1"/>
    <col min="3355" max="3355" width="9.140625" style="1" customWidth="1"/>
    <col min="3356" max="3356" width="10.28515625" style="1" customWidth="1"/>
    <col min="3357" max="3357" width="13.42578125" style="1" customWidth="1"/>
    <col min="3358" max="3358" width="8.42578125" style="1" customWidth="1"/>
    <col min="3359" max="3359" width="10.140625" style="1" customWidth="1"/>
    <col min="3360" max="3593" width="9.140625" style="1"/>
    <col min="3594" max="3594" width="34.28515625" style="1" customWidth="1"/>
    <col min="3595" max="3595" width="7" style="1" customWidth="1"/>
    <col min="3596" max="3596" width="0" style="1" hidden="1" customWidth="1"/>
    <col min="3597" max="3597" width="13.85546875" style="1" customWidth="1"/>
    <col min="3598" max="3598" width="10.7109375" style="1" customWidth="1"/>
    <col min="3599" max="3599" width="11.28515625" style="1" customWidth="1"/>
    <col min="3600" max="3600" width="12.42578125" style="1" customWidth="1"/>
    <col min="3601" max="3602" width="10.5703125" style="1" customWidth="1"/>
    <col min="3603" max="3603" width="10.85546875" style="1" customWidth="1"/>
    <col min="3604" max="3604" width="11.28515625" style="1" customWidth="1"/>
    <col min="3605" max="3605" width="10" style="1" customWidth="1"/>
    <col min="3606" max="3606" width="11.7109375" style="1" customWidth="1"/>
    <col min="3607" max="3607" width="10.140625" style="1" customWidth="1"/>
    <col min="3608" max="3608" width="8.28515625" style="1" customWidth="1"/>
    <col min="3609" max="3609" width="7.85546875" style="1" customWidth="1"/>
    <col min="3610" max="3610" width="9.28515625" style="1" customWidth="1"/>
    <col min="3611" max="3611" width="9.140625" style="1" customWidth="1"/>
    <col min="3612" max="3612" width="10.28515625" style="1" customWidth="1"/>
    <col min="3613" max="3613" width="13.42578125" style="1" customWidth="1"/>
    <col min="3614" max="3614" width="8.42578125" style="1" customWidth="1"/>
    <col min="3615" max="3615" width="10.140625" style="1" customWidth="1"/>
    <col min="3616" max="3849" width="9.140625" style="1"/>
    <col min="3850" max="3850" width="34.28515625" style="1" customWidth="1"/>
    <col min="3851" max="3851" width="7" style="1" customWidth="1"/>
    <col min="3852" max="3852" width="0" style="1" hidden="1" customWidth="1"/>
    <col min="3853" max="3853" width="13.85546875" style="1" customWidth="1"/>
    <col min="3854" max="3854" width="10.7109375" style="1" customWidth="1"/>
    <col min="3855" max="3855" width="11.28515625" style="1" customWidth="1"/>
    <col min="3856" max="3856" width="12.42578125" style="1" customWidth="1"/>
    <col min="3857" max="3858" width="10.5703125" style="1" customWidth="1"/>
    <col min="3859" max="3859" width="10.85546875" style="1" customWidth="1"/>
    <col min="3860" max="3860" width="11.28515625" style="1" customWidth="1"/>
    <col min="3861" max="3861" width="10" style="1" customWidth="1"/>
    <col min="3862" max="3862" width="11.7109375" style="1" customWidth="1"/>
    <col min="3863" max="3863" width="10.140625" style="1" customWidth="1"/>
    <col min="3864" max="3864" width="8.28515625" style="1" customWidth="1"/>
    <col min="3865" max="3865" width="7.85546875" style="1" customWidth="1"/>
    <col min="3866" max="3866" width="9.28515625" style="1" customWidth="1"/>
    <col min="3867" max="3867" width="9.140625" style="1" customWidth="1"/>
    <col min="3868" max="3868" width="10.28515625" style="1" customWidth="1"/>
    <col min="3869" max="3869" width="13.42578125" style="1" customWidth="1"/>
    <col min="3870" max="3870" width="8.42578125" style="1" customWidth="1"/>
    <col min="3871" max="3871" width="10.140625" style="1" customWidth="1"/>
    <col min="3872" max="4105" width="9.140625" style="1"/>
    <col min="4106" max="4106" width="34.28515625" style="1" customWidth="1"/>
    <col min="4107" max="4107" width="7" style="1" customWidth="1"/>
    <col min="4108" max="4108" width="0" style="1" hidden="1" customWidth="1"/>
    <col min="4109" max="4109" width="13.85546875" style="1" customWidth="1"/>
    <col min="4110" max="4110" width="10.7109375" style="1" customWidth="1"/>
    <col min="4111" max="4111" width="11.28515625" style="1" customWidth="1"/>
    <col min="4112" max="4112" width="12.42578125" style="1" customWidth="1"/>
    <col min="4113" max="4114" width="10.5703125" style="1" customWidth="1"/>
    <col min="4115" max="4115" width="10.85546875" style="1" customWidth="1"/>
    <col min="4116" max="4116" width="11.28515625" style="1" customWidth="1"/>
    <col min="4117" max="4117" width="10" style="1" customWidth="1"/>
    <col min="4118" max="4118" width="11.7109375" style="1" customWidth="1"/>
    <col min="4119" max="4119" width="10.140625" style="1" customWidth="1"/>
    <col min="4120" max="4120" width="8.28515625" style="1" customWidth="1"/>
    <col min="4121" max="4121" width="7.85546875" style="1" customWidth="1"/>
    <col min="4122" max="4122" width="9.28515625" style="1" customWidth="1"/>
    <col min="4123" max="4123" width="9.140625" style="1" customWidth="1"/>
    <col min="4124" max="4124" width="10.28515625" style="1" customWidth="1"/>
    <col min="4125" max="4125" width="13.42578125" style="1" customWidth="1"/>
    <col min="4126" max="4126" width="8.42578125" style="1" customWidth="1"/>
    <col min="4127" max="4127" width="10.140625" style="1" customWidth="1"/>
    <col min="4128" max="4361" width="9.140625" style="1"/>
    <col min="4362" max="4362" width="34.28515625" style="1" customWidth="1"/>
    <col min="4363" max="4363" width="7" style="1" customWidth="1"/>
    <col min="4364" max="4364" width="0" style="1" hidden="1" customWidth="1"/>
    <col min="4365" max="4365" width="13.85546875" style="1" customWidth="1"/>
    <col min="4366" max="4366" width="10.7109375" style="1" customWidth="1"/>
    <col min="4367" max="4367" width="11.28515625" style="1" customWidth="1"/>
    <col min="4368" max="4368" width="12.42578125" style="1" customWidth="1"/>
    <col min="4369" max="4370" width="10.5703125" style="1" customWidth="1"/>
    <col min="4371" max="4371" width="10.85546875" style="1" customWidth="1"/>
    <col min="4372" max="4372" width="11.28515625" style="1" customWidth="1"/>
    <col min="4373" max="4373" width="10" style="1" customWidth="1"/>
    <col min="4374" max="4374" width="11.7109375" style="1" customWidth="1"/>
    <col min="4375" max="4375" width="10.140625" style="1" customWidth="1"/>
    <col min="4376" max="4376" width="8.28515625" style="1" customWidth="1"/>
    <col min="4377" max="4377" width="7.85546875" style="1" customWidth="1"/>
    <col min="4378" max="4378" width="9.28515625" style="1" customWidth="1"/>
    <col min="4379" max="4379" width="9.140625" style="1" customWidth="1"/>
    <col min="4380" max="4380" width="10.28515625" style="1" customWidth="1"/>
    <col min="4381" max="4381" width="13.42578125" style="1" customWidth="1"/>
    <col min="4382" max="4382" width="8.42578125" style="1" customWidth="1"/>
    <col min="4383" max="4383" width="10.140625" style="1" customWidth="1"/>
    <col min="4384" max="4617" width="9.140625" style="1"/>
    <col min="4618" max="4618" width="34.28515625" style="1" customWidth="1"/>
    <col min="4619" max="4619" width="7" style="1" customWidth="1"/>
    <col min="4620" max="4620" width="0" style="1" hidden="1" customWidth="1"/>
    <col min="4621" max="4621" width="13.85546875" style="1" customWidth="1"/>
    <col min="4622" max="4622" width="10.7109375" style="1" customWidth="1"/>
    <col min="4623" max="4623" width="11.28515625" style="1" customWidth="1"/>
    <col min="4624" max="4624" width="12.42578125" style="1" customWidth="1"/>
    <col min="4625" max="4626" width="10.5703125" style="1" customWidth="1"/>
    <col min="4627" max="4627" width="10.85546875" style="1" customWidth="1"/>
    <col min="4628" max="4628" width="11.28515625" style="1" customWidth="1"/>
    <col min="4629" max="4629" width="10" style="1" customWidth="1"/>
    <col min="4630" max="4630" width="11.7109375" style="1" customWidth="1"/>
    <col min="4631" max="4631" width="10.140625" style="1" customWidth="1"/>
    <col min="4632" max="4632" width="8.28515625" style="1" customWidth="1"/>
    <col min="4633" max="4633" width="7.85546875" style="1" customWidth="1"/>
    <col min="4634" max="4634" width="9.28515625" style="1" customWidth="1"/>
    <col min="4635" max="4635" width="9.140625" style="1" customWidth="1"/>
    <col min="4636" max="4636" width="10.28515625" style="1" customWidth="1"/>
    <col min="4637" max="4637" width="13.42578125" style="1" customWidth="1"/>
    <col min="4638" max="4638" width="8.42578125" style="1" customWidth="1"/>
    <col min="4639" max="4639" width="10.140625" style="1" customWidth="1"/>
    <col min="4640" max="4873" width="9.140625" style="1"/>
    <col min="4874" max="4874" width="34.28515625" style="1" customWidth="1"/>
    <col min="4875" max="4875" width="7" style="1" customWidth="1"/>
    <col min="4876" max="4876" width="0" style="1" hidden="1" customWidth="1"/>
    <col min="4877" max="4877" width="13.85546875" style="1" customWidth="1"/>
    <col min="4878" max="4878" width="10.7109375" style="1" customWidth="1"/>
    <col min="4879" max="4879" width="11.28515625" style="1" customWidth="1"/>
    <col min="4880" max="4880" width="12.42578125" style="1" customWidth="1"/>
    <col min="4881" max="4882" width="10.5703125" style="1" customWidth="1"/>
    <col min="4883" max="4883" width="10.85546875" style="1" customWidth="1"/>
    <col min="4884" max="4884" width="11.28515625" style="1" customWidth="1"/>
    <col min="4885" max="4885" width="10" style="1" customWidth="1"/>
    <col min="4886" max="4886" width="11.7109375" style="1" customWidth="1"/>
    <col min="4887" max="4887" width="10.140625" style="1" customWidth="1"/>
    <col min="4888" max="4888" width="8.28515625" style="1" customWidth="1"/>
    <col min="4889" max="4889" width="7.85546875" style="1" customWidth="1"/>
    <col min="4890" max="4890" width="9.28515625" style="1" customWidth="1"/>
    <col min="4891" max="4891" width="9.140625" style="1" customWidth="1"/>
    <col min="4892" max="4892" width="10.28515625" style="1" customWidth="1"/>
    <col min="4893" max="4893" width="13.42578125" style="1" customWidth="1"/>
    <col min="4894" max="4894" width="8.42578125" style="1" customWidth="1"/>
    <col min="4895" max="4895" width="10.140625" style="1" customWidth="1"/>
    <col min="4896" max="5129" width="9.140625" style="1"/>
    <col min="5130" max="5130" width="34.28515625" style="1" customWidth="1"/>
    <col min="5131" max="5131" width="7" style="1" customWidth="1"/>
    <col min="5132" max="5132" width="0" style="1" hidden="1" customWidth="1"/>
    <col min="5133" max="5133" width="13.85546875" style="1" customWidth="1"/>
    <col min="5134" max="5134" width="10.7109375" style="1" customWidth="1"/>
    <col min="5135" max="5135" width="11.28515625" style="1" customWidth="1"/>
    <col min="5136" max="5136" width="12.42578125" style="1" customWidth="1"/>
    <col min="5137" max="5138" width="10.5703125" style="1" customWidth="1"/>
    <col min="5139" max="5139" width="10.85546875" style="1" customWidth="1"/>
    <col min="5140" max="5140" width="11.28515625" style="1" customWidth="1"/>
    <col min="5141" max="5141" width="10" style="1" customWidth="1"/>
    <col min="5142" max="5142" width="11.7109375" style="1" customWidth="1"/>
    <col min="5143" max="5143" width="10.140625" style="1" customWidth="1"/>
    <col min="5144" max="5144" width="8.28515625" style="1" customWidth="1"/>
    <col min="5145" max="5145" width="7.85546875" style="1" customWidth="1"/>
    <col min="5146" max="5146" width="9.28515625" style="1" customWidth="1"/>
    <col min="5147" max="5147" width="9.140625" style="1" customWidth="1"/>
    <col min="5148" max="5148" width="10.28515625" style="1" customWidth="1"/>
    <col min="5149" max="5149" width="13.42578125" style="1" customWidth="1"/>
    <col min="5150" max="5150" width="8.42578125" style="1" customWidth="1"/>
    <col min="5151" max="5151" width="10.140625" style="1" customWidth="1"/>
    <col min="5152" max="5385" width="9.140625" style="1"/>
    <col min="5386" max="5386" width="34.28515625" style="1" customWidth="1"/>
    <col min="5387" max="5387" width="7" style="1" customWidth="1"/>
    <col min="5388" max="5388" width="0" style="1" hidden="1" customWidth="1"/>
    <col min="5389" max="5389" width="13.85546875" style="1" customWidth="1"/>
    <col min="5390" max="5390" width="10.7109375" style="1" customWidth="1"/>
    <col min="5391" max="5391" width="11.28515625" style="1" customWidth="1"/>
    <col min="5392" max="5392" width="12.42578125" style="1" customWidth="1"/>
    <col min="5393" max="5394" width="10.5703125" style="1" customWidth="1"/>
    <col min="5395" max="5395" width="10.85546875" style="1" customWidth="1"/>
    <col min="5396" max="5396" width="11.28515625" style="1" customWidth="1"/>
    <col min="5397" max="5397" width="10" style="1" customWidth="1"/>
    <col min="5398" max="5398" width="11.7109375" style="1" customWidth="1"/>
    <col min="5399" max="5399" width="10.140625" style="1" customWidth="1"/>
    <col min="5400" max="5400" width="8.28515625" style="1" customWidth="1"/>
    <col min="5401" max="5401" width="7.85546875" style="1" customWidth="1"/>
    <col min="5402" max="5402" width="9.28515625" style="1" customWidth="1"/>
    <col min="5403" max="5403" width="9.140625" style="1" customWidth="1"/>
    <col min="5404" max="5404" width="10.28515625" style="1" customWidth="1"/>
    <col min="5405" max="5405" width="13.42578125" style="1" customWidth="1"/>
    <col min="5406" max="5406" width="8.42578125" style="1" customWidth="1"/>
    <col min="5407" max="5407" width="10.140625" style="1" customWidth="1"/>
    <col min="5408" max="5641" width="9.140625" style="1"/>
    <col min="5642" max="5642" width="34.28515625" style="1" customWidth="1"/>
    <col min="5643" max="5643" width="7" style="1" customWidth="1"/>
    <col min="5644" max="5644" width="0" style="1" hidden="1" customWidth="1"/>
    <col min="5645" max="5645" width="13.85546875" style="1" customWidth="1"/>
    <col min="5646" max="5646" width="10.7109375" style="1" customWidth="1"/>
    <col min="5647" max="5647" width="11.28515625" style="1" customWidth="1"/>
    <col min="5648" max="5648" width="12.42578125" style="1" customWidth="1"/>
    <col min="5649" max="5650" width="10.5703125" style="1" customWidth="1"/>
    <col min="5651" max="5651" width="10.85546875" style="1" customWidth="1"/>
    <col min="5652" max="5652" width="11.28515625" style="1" customWidth="1"/>
    <col min="5653" max="5653" width="10" style="1" customWidth="1"/>
    <col min="5654" max="5654" width="11.7109375" style="1" customWidth="1"/>
    <col min="5655" max="5655" width="10.140625" style="1" customWidth="1"/>
    <col min="5656" max="5656" width="8.28515625" style="1" customWidth="1"/>
    <col min="5657" max="5657" width="7.85546875" style="1" customWidth="1"/>
    <col min="5658" max="5658" width="9.28515625" style="1" customWidth="1"/>
    <col min="5659" max="5659" width="9.140625" style="1" customWidth="1"/>
    <col min="5660" max="5660" width="10.28515625" style="1" customWidth="1"/>
    <col min="5661" max="5661" width="13.42578125" style="1" customWidth="1"/>
    <col min="5662" max="5662" width="8.42578125" style="1" customWidth="1"/>
    <col min="5663" max="5663" width="10.140625" style="1" customWidth="1"/>
    <col min="5664" max="5897" width="9.140625" style="1"/>
    <col min="5898" max="5898" width="34.28515625" style="1" customWidth="1"/>
    <col min="5899" max="5899" width="7" style="1" customWidth="1"/>
    <col min="5900" max="5900" width="0" style="1" hidden="1" customWidth="1"/>
    <col min="5901" max="5901" width="13.85546875" style="1" customWidth="1"/>
    <col min="5902" max="5902" width="10.7109375" style="1" customWidth="1"/>
    <col min="5903" max="5903" width="11.28515625" style="1" customWidth="1"/>
    <col min="5904" max="5904" width="12.42578125" style="1" customWidth="1"/>
    <col min="5905" max="5906" width="10.5703125" style="1" customWidth="1"/>
    <col min="5907" max="5907" width="10.85546875" style="1" customWidth="1"/>
    <col min="5908" max="5908" width="11.28515625" style="1" customWidth="1"/>
    <col min="5909" max="5909" width="10" style="1" customWidth="1"/>
    <col min="5910" max="5910" width="11.7109375" style="1" customWidth="1"/>
    <col min="5911" max="5911" width="10.140625" style="1" customWidth="1"/>
    <col min="5912" max="5912" width="8.28515625" style="1" customWidth="1"/>
    <col min="5913" max="5913" width="7.85546875" style="1" customWidth="1"/>
    <col min="5914" max="5914" width="9.28515625" style="1" customWidth="1"/>
    <col min="5915" max="5915" width="9.140625" style="1" customWidth="1"/>
    <col min="5916" max="5916" width="10.28515625" style="1" customWidth="1"/>
    <col min="5917" max="5917" width="13.42578125" style="1" customWidth="1"/>
    <col min="5918" max="5918" width="8.42578125" style="1" customWidth="1"/>
    <col min="5919" max="5919" width="10.140625" style="1" customWidth="1"/>
    <col min="5920" max="6153" width="9.140625" style="1"/>
    <col min="6154" max="6154" width="34.28515625" style="1" customWidth="1"/>
    <col min="6155" max="6155" width="7" style="1" customWidth="1"/>
    <col min="6156" max="6156" width="0" style="1" hidden="1" customWidth="1"/>
    <col min="6157" max="6157" width="13.85546875" style="1" customWidth="1"/>
    <col min="6158" max="6158" width="10.7109375" style="1" customWidth="1"/>
    <col min="6159" max="6159" width="11.28515625" style="1" customWidth="1"/>
    <col min="6160" max="6160" width="12.42578125" style="1" customWidth="1"/>
    <col min="6161" max="6162" width="10.5703125" style="1" customWidth="1"/>
    <col min="6163" max="6163" width="10.85546875" style="1" customWidth="1"/>
    <col min="6164" max="6164" width="11.28515625" style="1" customWidth="1"/>
    <col min="6165" max="6165" width="10" style="1" customWidth="1"/>
    <col min="6166" max="6166" width="11.7109375" style="1" customWidth="1"/>
    <col min="6167" max="6167" width="10.140625" style="1" customWidth="1"/>
    <col min="6168" max="6168" width="8.28515625" style="1" customWidth="1"/>
    <col min="6169" max="6169" width="7.85546875" style="1" customWidth="1"/>
    <col min="6170" max="6170" width="9.28515625" style="1" customWidth="1"/>
    <col min="6171" max="6171" width="9.140625" style="1" customWidth="1"/>
    <col min="6172" max="6172" width="10.28515625" style="1" customWidth="1"/>
    <col min="6173" max="6173" width="13.42578125" style="1" customWidth="1"/>
    <col min="6174" max="6174" width="8.42578125" style="1" customWidth="1"/>
    <col min="6175" max="6175" width="10.140625" style="1" customWidth="1"/>
    <col min="6176" max="6409" width="9.140625" style="1"/>
    <col min="6410" max="6410" width="34.28515625" style="1" customWidth="1"/>
    <col min="6411" max="6411" width="7" style="1" customWidth="1"/>
    <col min="6412" max="6412" width="0" style="1" hidden="1" customWidth="1"/>
    <col min="6413" max="6413" width="13.85546875" style="1" customWidth="1"/>
    <col min="6414" max="6414" width="10.7109375" style="1" customWidth="1"/>
    <col min="6415" max="6415" width="11.28515625" style="1" customWidth="1"/>
    <col min="6416" max="6416" width="12.42578125" style="1" customWidth="1"/>
    <col min="6417" max="6418" width="10.5703125" style="1" customWidth="1"/>
    <col min="6419" max="6419" width="10.85546875" style="1" customWidth="1"/>
    <col min="6420" max="6420" width="11.28515625" style="1" customWidth="1"/>
    <col min="6421" max="6421" width="10" style="1" customWidth="1"/>
    <col min="6422" max="6422" width="11.7109375" style="1" customWidth="1"/>
    <col min="6423" max="6423" width="10.140625" style="1" customWidth="1"/>
    <col min="6424" max="6424" width="8.28515625" style="1" customWidth="1"/>
    <col min="6425" max="6425" width="7.85546875" style="1" customWidth="1"/>
    <col min="6426" max="6426" width="9.28515625" style="1" customWidth="1"/>
    <col min="6427" max="6427" width="9.140625" style="1" customWidth="1"/>
    <col min="6428" max="6428" width="10.28515625" style="1" customWidth="1"/>
    <col min="6429" max="6429" width="13.42578125" style="1" customWidth="1"/>
    <col min="6430" max="6430" width="8.42578125" style="1" customWidth="1"/>
    <col min="6431" max="6431" width="10.140625" style="1" customWidth="1"/>
    <col min="6432" max="6665" width="9.140625" style="1"/>
    <col min="6666" max="6666" width="34.28515625" style="1" customWidth="1"/>
    <col min="6667" max="6667" width="7" style="1" customWidth="1"/>
    <col min="6668" max="6668" width="0" style="1" hidden="1" customWidth="1"/>
    <col min="6669" max="6669" width="13.85546875" style="1" customWidth="1"/>
    <col min="6670" max="6670" width="10.7109375" style="1" customWidth="1"/>
    <col min="6671" max="6671" width="11.28515625" style="1" customWidth="1"/>
    <col min="6672" max="6672" width="12.42578125" style="1" customWidth="1"/>
    <col min="6673" max="6674" width="10.5703125" style="1" customWidth="1"/>
    <col min="6675" max="6675" width="10.85546875" style="1" customWidth="1"/>
    <col min="6676" max="6676" width="11.28515625" style="1" customWidth="1"/>
    <col min="6677" max="6677" width="10" style="1" customWidth="1"/>
    <col min="6678" max="6678" width="11.7109375" style="1" customWidth="1"/>
    <col min="6679" max="6679" width="10.140625" style="1" customWidth="1"/>
    <col min="6680" max="6680" width="8.28515625" style="1" customWidth="1"/>
    <col min="6681" max="6681" width="7.85546875" style="1" customWidth="1"/>
    <col min="6682" max="6682" width="9.28515625" style="1" customWidth="1"/>
    <col min="6683" max="6683" width="9.140625" style="1" customWidth="1"/>
    <col min="6684" max="6684" width="10.28515625" style="1" customWidth="1"/>
    <col min="6685" max="6685" width="13.42578125" style="1" customWidth="1"/>
    <col min="6686" max="6686" width="8.42578125" style="1" customWidth="1"/>
    <col min="6687" max="6687" width="10.140625" style="1" customWidth="1"/>
    <col min="6688" max="6921" width="9.140625" style="1"/>
    <col min="6922" max="6922" width="34.28515625" style="1" customWidth="1"/>
    <col min="6923" max="6923" width="7" style="1" customWidth="1"/>
    <col min="6924" max="6924" width="0" style="1" hidden="1" customWidth="1"/>
    <col min="6925" max="6925" width="13.85546875" style="1" customWidth="1"/>
    <col min="6926" max="6926" width="10.7109375" style="1" customWidth="1"/>
    <col min="6927" max="6927" width="11.28515625" style="1" customWidth="1"/>
    <col min="6928" max="6928" width="12.42578125" style="1" customWidth="1"/>
    <col min="6929" max="6930" width="10.5703125" style="1" customWidth="1"/>
    <col min="6931" max="6931" width="10.85546875" style="1" customWidth="1"/>
    <col min="6932" max="6932" width="11.28515625" style="1" customWidth="1"/>
    <col min="6933" max="6933" width="10" style="1" customWidth="1"/>
    <col min="6934" max="6934" width="11.7109375" style="1" customWidth="1"/>
    <col min="6935" max="6935" width="10.140625" style="1" customWidth="1"/>
    <col min="6936" max="6936" width="8.28515625" style="1" customWidth="1"/>
    <col min="6937" max="6937" width="7.85546875" style="1" customWidth="1"/>
    <col min="6938" max="6938" width="9.28515625" style="1" customWidth="1"/>
    <col min="6939" max="6939" width="9.140625" style="1" customWidth="1"/>
    <col min="6940" max="6940" width="10.28515625" style="1" customWidth="1"/>
    <col min="6941" max="6941" width="13.42578125" style="1" customWidth="1"/>
    <col min="6942" max="6942" width="8.42578125" style="1" customWidth="1"/>
    <col min="6943" max="6943" width="10.140625" style="1" customWidth="1"/>
    <col min="6944" max="7177" width="9.140625" style="1"/>
    <col min="7178" max="7178" width="34.28515625" style="1" customWidth="1"/>
    <col min="7179" max="7179" width="7" style="1" customWidth="1"/>
    <col min="7180" max="7180" width="0" style="1" hidden="1" customWidth="1"/>
    <col min="7181" max="7181" width="13.85546875" style="1" customWidth="1"/>
    <col min="7182" max="7182" width="10.7109375" style="1" customWidth="1"/>
    <col min="7183" max="7183" width="11.28515625" style="1" customWidth="1"/>
    <col min="7184" max="7184" width="12.42578125" style="1" customWidth="1"/>
    <col min="7185" max="7186" width="10.5703125" style="1" customWidth="1"/>
    <col min="7187" max="7187" width="10.85546875" style="1" customWidth="1"/>
    <col min="7188" max="7188" width="11.28515625" style="1" customWidth="1"/>
    <col min="7189" max="7189" width="10" style="1" customWidth="1"/>
    <col min="7190" max="7190" width="11.7109375" style="1" customWidth="1"/>
    <col min="7191" max="7191" width="10.140625" style="1" customWidth="1"/>
    <col min="7192" max="7192" width="8.28515625" style="1" customWidth="1"/>
    <col min="7193" max="7193" width="7.85546875" style="1" customWidth="1"/>
    <col min="7194" max="7194" width="9.28515625" style="1" customWidth="1"/>
    <col min="7195" max="7195" width="9.140625" style="1" customWidth="1"/>
    <col min="7196" max="7196" width="10.28515625" style="1" customWidth="1"/>
    <col min="7197" max="7197" width="13.42578125" style="1" customWidth="1"/>
    <col min="7198" max="7198" width="8.42578125" style="1" customWidth="1"/>
    <col min="7199" max="7199" width="10.140625" style="1" customWidth="1"/>
    <col min="7200" max="7433" width="9.140625" style="1"/>
    <col min="7434" max="7434" width="34.28515625" style="1" customWidth="1"/>
    <col min="7435" max="7435" width="7" style="1" customWidth="1"/>
    <col min="7436" max="7436" width="0" style="1" hidden="1" customWidth="1"/>
    <col min="7437" max="7437" width="13.85546875" style="1" customWidth="1"/>
    <col min="7438" max="7438" width="10.7109375" style="1" customWidth="1"/>
    <col min="7439" max="7439" width="11.28515625" style="1" customWidth="1"/>
    <col min="7440" max="7440" width="12.42578125" style="1" customWidth="1"/>
    <col min="7441" max="7442" width="10.5703125" style="1" customWidth="1"/>
    <col min="7443" max="7443" width="10.85546875" style="1" customWidth="1"/>
    <col min="7444" max="7444" width="11.28515625" style="1" customWidth="1"/>
    <col min="7445" max="7445" width="10" style="1" customWidth="1"/>
    <col min="7446" max="7446" width="11.7109375" style="1" customWidth="1"/>
    <col min="7447" max="7447" width="10.140625" style="1" customWidth="1"/>
    <col min="7448" max="7448" width="8.28515625" style="1" customWidth="1"/>
    <col min="7449" max="7449" width="7.85546875" style="1" customWidth="1"/>
    <col min="7450" max="7450" width="9.28515625" style="1" customWidth="1"/>
    <col min="7451" max="7451" width="9.140625" style="1" customWidth="1"/>
    <col min="7452" max="7452" width="10.28515625" style="1" customWidth="1"/>
    <col min="7453" max="7453" width="13.42578125" style="1" customWidth="1"/>
    <col min="7454" max="7454" width="8.42578125" style="1" customWidth="1"/>
    <col min="7455" max="7455" width="10.140625" style="1" customWidth="1"/>
    <col min="7456" max="7689" width="9.140625" style="1"/>
    <col min="7690" max="7690" width="34.28515625" style="1" customWidth="1"/>
    <col min="7691" max="7691" width="7" style="1" customWidth="1"/>
    <col min="7692" max="7692" width="0" style="1" hidden="1" customWidth="1"/>
    <col min="7693" max="7693" width="13.85546875" style="1" customWidth="1"/>
    <col min="7694" max="7694" width="10.7109375" style="1" customWidth="1"/>
    <col min="7695" max="7695" width="11.28515625" style="1" customWidth="1"/>
    <col min="7696" max="7696" width="12.42578125" style="1" customWidth="1"/>
    <col min="7697" max="7698" width="10.5703125" style="1" customWidth="1"/>
    <col min="7699" max="7699" width="10.85546875" style="1" customWidth="1"/>
    <col min="7700" max="7700" width="11.28515625" style="1" customWidth="1"/>
    <col min="7701" max="7701" width="10" style="1" customWidth="1"/>
    <col min="7702" max="7702" width="11.7109375" style="1" customWidth="1"/>
    <col min="7703" max="7703" width="10.140625" style="1" customWidth="1"/>
    <col min="7704" max="7704" width="8.28515625" style="1" customWidth="1"/>
    <col min="7705" max="7705" width="7.85546875" style="1" customWidth="1"/>
    <col min="7706" max="7706" width="9.28515625" style="1" customWidth="1"/>
    <col min="7707" max="7707" width="9.140625" style="1" customWidth="1"/>
    <col min="7708" max="7708" width="10.28515625" style="1" customWidth="1"/>
    <col min="7709" max="7709" width="13.42578125" style="1" customWidth="1"/>
    <col min="7710" max="7710" width="8.42578125" style="1" customWidth="1"/>
    <col min="7711" max="7711" width="10.140625" style="1" customWidth="1"/>
    <col min="7712" max="7945" width="9.140625" style="1"/>
    <col min="7946" max="7946" width="34.28515625" style="1" customWidth="1"/>
    <col min="7947" max="7947" width="7" style="1" customWidth="1"/>
    <col min="7948" max="7948" width="0" style="1" hidden="1" customWidth="1"/>
    <col min="7949" max="7949" width="13.85546875" style="1" customWidth="1"/>
    <col min="7950" max="7950" width="10.7109375" style="1" customWidth="1"/>
    <col min="7951" max="7951" width="11.28515625" style="1" customWidth="1"/>
    <col min="7952" max="7952" width="12.42578125" style="1" customWidth="1"/>
    <col min="7953" max="7954" width="10.5703125" style="1" customWidth="1"/>
    <col min="7955" max="7955" width="10.85546875" style="1" customWidth="1"/>
    <col min="7956" max="7956" width="11.28515625" style="1" customWidth="1"/>
    <col min="7957" max="7957" width="10" style="1" customWidth="1"/>
    <col min="7958" max="7958" width="11.7109375" style="1" customWidth="1"/>
    <col min="7959" max="7959" width="10.140625" style="1" customWidth="1"/>
    <col min="7960" max="7960" width="8.28515625" style="1" customWidth="1"/>
    <col min="7961" max="7961" width="7.85546875" style="1" customWidth="1"/>
    <col min="7962" max="7962" width="9.28515625" style="1" customWidth="1"/>
    <col min="7963" max="7963" width="9.140625" style="1" customWidth="1"/>
    <col min="7964" max="7964" width="10.28515625" style="1" customWidth="1"/>
    <col min="7965" max="7965" width="13.42578125" style="1" customWidth="1"/>
    <col min="7966" max="7966" width="8.42578125" style="1" customWidth="1"/>
    <col min="7967" max="7967" width="10.140625" style="1" customWidth="1"/>
    <col min="7968" max="8201" width="9.140625" style="1"/>
    <col min="8202" max="8202" width="34.28515625" style="1" customWidth="1"/>
    <col min="8203" max="8203" width="7" style="1" customWidth="1"/>
    <col min="8204" max="8204" width="0" style="1" hidden="1" customWidth="1"/>
    <col min="8205" max="8205" width="13.85546875" style="1" customWidth="1"/>
    <col min="8206" max="8206" width="10.7109375" style="1" customWidth="1"/>
    <col min="8207" max="8207" width="11.28515625" style="1" customWidth="1"/>
    <col min="8208" max="8208" width="12.42578125" style="1" customWidth="1"/>
    <col min="8209" max="8210" width="10.5703125" style="1" customWidth="1"/>
    <col min="8211" max="8211" width="10.85546875" style="1" customWidth="1"/>
    <col min="8212" max="8212" width="11.28515625" style="1" customWidth="1"/>
    <col min="8213" max="8213" width="10" style="1" customWidth="1"/>
    <col min="8214" max="8214" width="11.7109375" style="1" customWidth="1"/>
    <col min="8215" max="8215" width="10.140625" style="1" customWidth="1"/>
    <col min="8216" max="8216" width="8.28515625" style="1" customWidth="1"/>
    <col min="8217" max="8217" width="7.85546875" style="1" customWidth="1"/>
    <col min="8218" max="8218" width="9.28515625" style="1" customWidth="1"/>
    <col min="8219" max="8219" width="9.140625" style="1" customWidth="1"/>
    <col min="8220" max="8220" width="10.28515625" style="1" customWidth="1"/>
    <col min="8221" max="8221" width="13.42578125" style="1" customWidth="1"/>
    <col min="8222" max="8222" width="8.42578125" style="1" customWidth="1"/>
    <col min="8223" max="8223" width="10.140625" style="1" customWidth="1"/>
    <col min="8224" max="8457" width="9.140625" style="1"/>
    <col min="8458" max="8458" width="34.28515625" style="1" customWidth="1"/>
    <col min="8459" max="8459" width="7" style="1" customWidth="1"/>
    <col min="8460" max="8460" width="0" style="1" hidden="1" customWidth="1"/>
    <col min="8461" max="8461" width="13.85546875" style="1" customWidth="1"/>
    <col min="8462" max="8462" width="10.7109375" style="1" customWidth="1"/>
    <col min="8463" max="8463" width="11.28515625" style="1" customWidth="1"/>
    <col min="8464" max="8464" width="12.42578125" style="1" customWidth="1"/>
    <col min="8465" max="8466" width="10.5703125" style="1" customWidth="1"/>
    <col min="8467" max="8467" width="10.85546875" style="1" customWidth="1"/>
    <col min="8468" max="8468" width="11.28515625" style="1" customWidth="1"/>
    <col min="8469" max="8469" width="10" style="1" customWidth="1"/>
    <col min="8470" max="8470" width="11.7109375" style="1" customWidth="1"/>
    <col min="8471" max="8471" width="10.140625" style="1" customWidth="1"/>
    <col min="8472" max="8472" width="8.28515625" style="1" customWidth="1"/>
    <col min="8473" max="8473" width="7.85546875" style="1" customWidth="1"/>
    <col min="8474" max="8474" width="9.28515625" style="1" customWidth="1"/>
    <col min="8475" max="8475" width="9.140625" style="1" customWidth="1"/>
    <col min="8476" max="8476" width="10.28515625" style="1" customWidth="1"/>
    <col min="8477" max="8477" width="13.42578125" style="1" customWidth="1"/>
    <col min="8478" max="8478" width="8.42578125" style="1" customWidth="1"/>
    <col min="8479" max="8479" width="10.140625" style="1" customWidth="1"/>
    <col min="8480" max="8713" width="9.140625" style="1"/>
    <col min="8714" max="8714" width="34.28515625" style="1" customWidth="1"/>
    <col min="8715" max="8715" width="7" style="1" customWidth="1"/>
    <col min="8716" max="8716" width="0" style="1" hidden="1" customWidth="1"/>
    <col min="8717" max="8717" width="13.85546875" style="1" customWidth="1"/>
    <col min="8718" max="8718" width="10.7109375" style="1" customWidth="1"/>
    <col min="8719" max="8719" width="11.28515625" style="1" customWidth="1"/>
    <col min="8720" max="8720" width="12.42578125" style="1" customWidth="1"/>
    <col min="8721" max="8722" width="10.5703125" style="1" customWidth="1"/>
    <col min="8723" max="8723" width="10.85546875" style="1" customWidth="1"/>
    <col min="8724" max="8724" width="11.28515625" style="1" customWidth="1"/>
    <col min="8725" max="8725" width="10" style="1" customWidth="1"/>
    <col min="8726" max="8726" width="11.7109375" style="1" customWidth="1"/>
    <col min="8727" max="8727" width="10.140625" style="1" customWidth="1"/>
    <col min="8728" max="8728" width="8.28515625" style="1" customWidth="1"/>
    <col min="8729" max="8729" width="7.85546875" style="1" customWidth="1"/>
    <col min="8730" max="8730" width="9.28515625" style="1" customWidth="1"/>
    <col min="8731" max="8731" width="9.140625" style="1" customWidth="1"/>
    <col min="8732" max="8732" width="10.28515625" style="1" customWidth="1"/>
    <col min="8733" max="8733" width="13.42578125" style="1" customWidth="1"/>
    <col min="8734" max="8734" width="8.42578125" style="1" customWidth="1"/>
    <col min="8735" max="8735" width="10.140625" style="1" customWidth="1"/>
    <col min="8736" max="8969" width="9.140625" style="1"/>
    <col min="8970" max="8970" width="34.28515625" style="1" customWidth="1"/>
    <col min="8971" max="8971" width="7" style="1" customWidth="1"/>
    <col min="8972" max="8972" width="0" style="1" hidden="1" customWidth="1"/>
    <col min="8973" max="8973" width="13.85546875" style="1" customWidth="1"/>
    <col min="8974" max="8974" width="10.7109375" style="1" customWidth="1"/>
    <col min="8975" max="8975" width="11.28515625" style="1" customWidth="1"/>
    <col min="8976" max="8976" width="12.42578125" style="1" customWidth="1"/>
    <col min="8977" max="8978" width="10.5703125" style="1" customWidth="1"/>
    <col min="8979" max="8979" width="10.85546875" style="1" customWidth="1"/>
    <col min="8980" max="8980" width="11.28515625" style="1" customWidth="1"/>
    <col min="8981" max="8981" width="10" style="1" customWidth="1"/>
    <col min="8982" max="8982" width="11.7109375" style="1" customWidth="1"/>
    <col min="8983" max="8983" width="10.140625" style="1" customWidth="1"/>
    <col min="8984" max="8984" width="8.28515625" style="1" customWidth="1"/>
    <col min="8985" max="8985" width="7.85546875" style="1" customWidth="1"/>
    <col min="8986" max="8986" width="9.28515625" style="1" customWidth="1"/>
    <col min="8987" max="8987" width="9.140625" style="1" customWidth="1"/>
    <col min="8988" max="8988" width="10.28515625" style="1" customWidth="1"/>
    <col min="8989" max="8989" width="13.42578125" style="1" customWidth="1"/>
    <col min="8990" max="8990" width="8.42578125" style="1" customWidth="1"/>
    <col min="8991" max="8991" width="10.140625" style="1" customWidth="1"/>
    <col min="8992" max="9225" width="9.140625" style="1"/>
    <col min="9226" max="9226" width="34.28515625" style="1" customWidth="1"/>
    <col min="9227" max="9227" width="7" style="1" customWidth="1"/>
    <col min="9228" max="9228" width="0" style="1" hidden="1" customWidth="1"/>
    <col min="9229" max="9229" width="13.85546875" style="1" customWidth="1"/>
    <col min="9230" max="9230" width="10.7109375" style="1" customWidth="1"/>
    <col min="9231" max="9231" width="11.28515625" style="1" customWidth="1"/>
    <col min="9232" max="9232" width="12.42578125" style="1" customWidth="1"/>
    <col min="9233" max="9234" width="10.5703125" style="1" customWidth="1"/>
    <col min="9235" max="9235" width="10.85546875" style="1" customWidth="1"/>
    <col min="9236" max="9236" width="11.28515625" style="1" customWidth="1"/>
    <col min="9237" max="9237" width="10" style="1" customWidth="1"/>
    <col min="9238" max="9238" width="11.7109375" style="1" customWidth="1"/>
    <col min="9239" max="9239" width="10.140625" style="1" customWidth="1"/>
    <col min="9240" max="9240" width="8.28515625" style="1" customWidth="1"/>
    <col min="9241" max="9241" width="7.85546875" style="1" customWidth="1"/>
    <col min="9242" max="9242" width="9.28515625" style="1" customWidth="1"/>
    <col min="9243" max="9243" width="9.140625" style="1" customWidth="1"/>
    <col min="9244" max="9244" width="10.28515625" style="1" customWidth="1"/>
    <col min="9245" max="9245" width="13.42578125" style="1" customWidth="1"/>
    <col min="9246" max="9246" width="8.42578125" style="1" customWidth="1"/>
    <col min="9247" max="9247" width="10.140625" style="1" customWidth="1"/>
    <col min="9248" max="9481" width="9.140625" style="1"/>
    <col min="9482" max="9482" width="34.28515625" style="1" customWidth="1"/>
    <col min="9483" max="9483" width="7" style="1" customWidth="1"/>
    <col min="9484" max="9484" width="0" style="1" hidden="1" customWidth="1"/>
    <col min="9485" max="9485" width="13.85546875" style="1" customWidth="1"/>
    <col min="9486" max="9486" width="10.7109375" style="1" customWidth="1"/>
    <col min="9487" max="9487" width="11.28515625" style="1" customWidth="1"/>
    <col min="9488" max="9488" width="12.42578125" style="1" customWidth="1"/>
    <col min="9489" max="9490" width="10.5703125" style="1" customWidth="1"/>
    <col min="9491" max="9491" width="10.85546875" style="1" customWidth="1"/>
    <col min="9492" max="9492" width="11.28515625" style="1" customWidth="1"/>
    <col min="9493" max="9493" width="10" style="1" customWidth="1"/>
    <col min="9494" max="9494" width="11.7109375" style="1" customWidth="1"/>
    <col min="9495" max="9495" width="10.140625" style="1" customWidth="1"/>
    <col min="9496" max="9496" width="8.28515625" style="1" customWidth="1"/>
    <col min="9497" max="9497" width="7.85546875" style="1" customWidth="1"/>
    <col min="9498" max="9498" width="9.28515625" style="1" customWidth="1"/>
    <col min="9499" max="9499" width="9.140625" style="1" customWidth="1"/>
    <col min="9500" max="9500" width="10.28515625" style="1" customWidth="1"/>
    <col min="9501" max="9501" width="13.42578125" style="1" customWidth="1"/>
    <col min="9502" max="9502" width="8.42578125" style="1" customWidth="1"/>
    <col min="9503" max="9503" width="10.140625" style="1" customWidth="1"/>
    <col min="9504" max="9737" width="9.140625" style="1"/>
    <col min="9738" max="9738" width="34.28515625" style="1" customWidth="1"/>
    <col min="9739" max="9739" width="7" style="1" customWidth="1"/>
    <col min="9740" max="9740" width="0" style="1" hidden="1" customWidth="1"/>
    <col min="9741" max="9741" width="13.85546875" style="1" customWidth="1"/>
    <col min="9742" max="9742" width="10.7109375" style="1" customWidth="1"/>
    <col min="9743" max="9743" width="11.28515625" style="1" customWidth="1"/>
    <col min="9744" max="9744" width="12.42578125" style="1" customWidth="1"/>
    <col min="9745" max="9746" width="10.5703125" style="1" customWidth="1"/>
    <col min="9747" max="9747" width="10.85546875" style="1" customWidth="1"/>
    <col min="9748" max="9748" width="11.28515625" style="1" customWidth="1"/>
    <col min="9749" max="9749" width="10" style="1" customWidth="1"/>
    <col min="9750" max="9750" width="11.7109375" style="1" customWidth="1"/>
    <col min="9751" max="9751" width="10.140625" style="1" customWidth="1"/>
    <col min="9752" max="9752" width="8.28515625" style="1" customWidth="1"/>
    <col min="9753" max="9753" width="7.85546875" style="1" customWidth="1"/>
    <col min="9754" max="9754" width="9.28515625" style="1" customWidth="1"/>
    <col min="9755" max="9755" width="9.140625" style="1" customWidth="1"/>
    <col min="9756" max="9756" width="10.28515625" style="1" customWidth="1"/>
    <col min="9757" max="9757" width="13.42578125" style="1" customWidth="1"/>
    <col min="9758" max="9758" width="8.42578125" style="1" customWidth="1"/>
    <col min="9759" max="9759" width="10.140625" style="1" customWidth="1"/>
    <col min="9760" max="9993" width="9.140625" style="1"/>
    <col min="9994" max="9994" width="34.28515625" style="1" customWidth="1"/>
    <col min="9995" max="9995" width="7" style="1" customWidth="1"/>
    <col min="9996" max="9996" width="0" style="1" hidden="1" customWidth="1"/>
    <col min="9997" max="9997" width="13.85546875" style="1" customWidth="1"/>
    <col min="9998" max="9998" width="10.7109375" style="1" customWidth="1"/>
    <col min="9999" max="9999" width="11.28515625" style="1" customWidth="1"/>
    <col min="10000" max="10000" width="12.42578125" style="1" customWidth="1"/>
    <col min="10001" max="10002" width="10.5703125" style="1" customWidth="1"/>
    <col min="10003" max="10003" width="10.85546875" style="1" customWidth="1"/>
    <col min="10004" max="10004" width="11.28515625" style="1" customWidth="1"/>
    <col min="10005" max="10005" width="10" style="1" customWidth="1"/>
    <col min="10006" max="10006" width="11.7109375" style="1" customWidth="1"/>
    <col min="10007" max="10007" width="10.140625" style="1" customWidth="1"/>
    <col min="10008" max="10008" width="8.28515625" style="1" customWidth="1"/>
    <col min="10009" max="10009" width="7.85546875" style="1" customWidth="1"/>
    <col min="10010" max="10010" width="9.28515625" style="1" customWidth="1"/>
    <col min="10011" max="10011" width="9.140625" style="1" customWidth="1"/>
    <col min="10012" max="10012" width="10.28515625" style="1" customWidth="1"/>
    <col min="10013" max="10013" width="13.42578125" style="1" customWidth="1"/>
    <col min="10014" max="10014" width="8.42578125" style="1" customWidth="1"/>
    <col min="10015" max="10015" width="10.140625" style="1" customWidth="1"/>
    <col min="10016" max="10249" width="9.140625" style="1"/>
    <col min="10250" max="10250" width="34.28515625" style="1" customWidth="1"/>
    <col min="10251" max="10251" width="7" style="1" customWidth="1"/>
    <col min="10252" max="10252" width="0" style="1" hidden="1" customWidth="1"/>
    <col min="10253" max="10253" width="13.85546875" style="1" customWidth="1"/>
    <col min="10254" max="10254" width="10.7109375" style="1" customWidth="1"/>
    <col min="10255" max="10255" width="11.28515625" style="1" customWidth="1"/>
    <col min="10256" max="10256" width="12.42578125" style="1" customWidth="1"/>
    <col min="10257" max="10258" width="10.5703125" style="1" customWidth="1"/>
    <col min="10259" max="10259" width="10.85546875" style="1" customWidth="1"/>
    <col min="10260" max="10260" width="11.28515625" style="1" customWidth="1"/>
    <col min="10261" max="10261" width="10" style="1" customWidth="1"/>
    <col min="10262" max="10262" width="11.7109375" style="1" customWidth="1"/>
    <col min="10263" max="10263" width="10.140625" style="1" customWidth="1"/>
    <col min="10264" max="10264" width="8.28515625" style="1" customWidth="1"/>
    <col min="10265" max="10265" width="7.85546875" style="1" customWidth="1"/>
    <col min="10266" max="10266" width="9.28515625" style="1" customWidth="1"/>
    <col min="10267" max="10267" width="9.140625" style="1" customWidth="1"/>
    <col min="10268" max="10268" width="10.28515625" style="1" customWidth="1"/>
    <col min="10269" max="10269" width="13.42578125" style="1" customWidth="1"/>
    <col min="10270" max="10270" width="8.42578125" style="1" customWidth="1"/>
    <col min="10271" max="10271" width="10.140625" style="1" customWidth="1"/>
    <col min="10272" max="10505" width="9.140625" style="1"/>
    <col min="10506" max="10506" width="34.28515625" style="1" customWidth="1"/>
    <col min="10507" max="10507" width="7" style="1" customWidth="1"/>
    <col min="10508" max="10508" width="0" style="1" hidden="1" customWidth="1"/>
    <col min="10509" max="10509" width="13.85546875" style="1" customWidth="1"/>
    <col min="10510" max="10510" width="10.7109375" style="1" customWidth="1"/>
    <col min="10511" max="10511" width="11.28515625" style="1" customWidth="1"/>
    <col min="10512" max="10512" width="12.42578125" style="1" customWidth="1"/>
    <col min="10513" max="10514" width="10.5703125" style="1" customWidth="1"/>
    <col min="10515" max="10515" width="10.85546875" style="1" customWidth="1"/>
    <col min="10516" max="10516" width="11.28515625" style="1" customWidth="1"/>
    <col min="10517" max="10517" width="10" style="1" customWidth="1"/>
    <col min="10518" max="10518" width="11.7109375" style="1" customWidth="1"/>
    <col min="10519" max="10519" width="10.140625" style="1" customWidth="1"/>
    <col min="10520" max="10520" width="8.28515625" style="1" customWidth="1"/>
    <col min="10521" max="10521" width="7.85546875" style="1" customWidth="1"/>
    <col min="10522" max="10522" width="9.28515625" style="1" customWidth="1"/>
    <col min="10523" max="10523" width="9.140625" style="1" customWidth="1"/>
    <col min="10524" max="10524" width="10.28515625" style="1" customWidth="1"/>
    <col min="10525" max="10525" width="13.42578125" style="1" customWidth="1"/>
    <col min="10526" max="10526" width="8.42578125" style="1" customWidth="1"/>
    <col min="10527" max="10527" width="10.140625" style="1" customWidth="1"/>
    <col min="10528" max="10761" width="9.140625" style="1"/>
    <col min="10762" max="10762" width="34.28515625" style="1" customWidth="1"/>
    <col min="10763" max="10763" width="7" style="1" customWidth="1"/>
    <col min="10764" max="10764" width="0" style="1" hidden="1" customWidth="1"/>
    <col min="10765" max="10765" width="13.85546875" style="1" customWidth="1"/>
    <col min="10766" max="10766" width="10.7109375" style="1" customWidth="1"/>
    <col min="10767" max="10767" width="11.28515625" style="1" customWidth="1"/>
    <col min="10768" max="10768" width="12.42578125" style="1" customWidth="1"/>
    <col min="10769" max="10770" width="10.5703125" style="1" customWidth="1"/>
    <col min="10771" max="10771" width="10.85546875" style="1" customWidth="1"/>
    <col min="10772" max="10772" width="11.28515625" style="1" customWidth="1"/>
    <col min="10773" max="10773" width="10" style="1" customWidth="1"/>
    <col min="10774" max="10774" width="11.7109375" style="1" customWidth="1"/>
    <col min="10775" max="10775" width="10.140625" style="1" customWidth="1"/>
    <col min="10776" max="10776" width="8.28515625" style="1" customWidth="1"/>
    <col min="10777" max="10777" width="7.85546875" style="1" customWidth="1"/>
    <col min="10778" max="10778" width="9.28515625" style="1" customWidth="1"/>
    <col min="10779" max="10779" width="9.140625" style="1" customWidth="1"/>
    <col min="10780" max="10780" width="10.28515625" style="1" customWidth="1"/>
    <col min="10781" max="10781" width="13.42578125" style="1" customWidth="1"/>
    <col min="10782" max="10782" width="8.42578125" style="1" customWidth="1"/>
    <col min="10783" max="10783" width="10.140625" style="1" customWidth="1"/>
    <col min="10784" max="11017" width="9.140625" style="1"/>
    <col min="11018" max="11018" width="34.28515625" style="1" customWidth="1"/>
    <col min="11019" max="11019" width="7" style="1" customWidth="1"/>
    <col min="11020" max="11020" width="0" style="1" hidden="1" customWidth="1"/>
    <col min="11021" max="11021" width="13.85546875" style="1" customWidth="1"/>
    <col min="11022" max="11022" width="10.7109375" style="1" customWidth="1"/>
    <col min="11023" max="11023" width="11.28515625" style="1" customWidth="1"/>
    <col min="11024" max="11024" width="12.42578125" style="1" customWidth="1"/>
    <col min="11025" max="11026" width="10.5703125" style="1" customWidth="1"/>
    <col min="11027" max="11027" width="10.85546875" style="1" customWidth="1"/>
    <col min="11028" max="11028" width="11.28515625" style="1" customWidth="1"/>
    <col min="11029" max="11029" width="10" style="1" customWidth="1"/>
    <col min="11030" max="11030" width="11.7109375" style="1" customWidth="1"/>
    <col min="11031" max="11031" width="10.140625" style="1" customWidth="1"/>
    <col min="11032" max="11032" width="8.28515625" style="1" customWidth="1"/>
    <col min="11033" max="11033" width="7.85546875" style="1" customWidth="1"/>
    <col min="11034" max="11034" width="9.28515625" style="1" customWidth="1"/>
    <col min="11035" max="11035" width="9.140625" style="1" customWidth="1"/>
    <col min="11036" max="11036" width="10.28515625" style="1" customWidth="1"/>
    <col min="11037" max="11037" width="13.42578125" style="1" customWidth="1"/>
    <col min="11038" max="11038" width="8.42578125" style="1" customWidth="1"/>
    <col min="11039" max="11039" width="10.140625" style="1" customWidth="1"/>
    <col min="11040" max="11273" width="9.140625" style="1"/>
    <col min="11274" max="11274" width="34.28515625" style="1" customWidth="1"/>
    <col min="11275" max="11275" width="7" style="1" customWidth="1"/>
    <col min="11276" max="11276" width="0" style="1" hidden="1" customWidth="1"/>
    <col min="11277" max="11277" width="13.85546875" style="1" customWidth="1"/>
    <col min="11278" max="11278" width="10.7109375" style="1" customWidth="1"/>
    <col min="11279" max="11279" width="11.28515625" style="1" customWidth="1"/>
    <col min="11280" max="11280" width="12.42578125" style="1" customWidth="1"/>
    <col min="11281" max="11282" width="10.5703125" style="1" customWidth="1"/>
    <col min="11283" max="11283" width="10.85546875" style="1" customWidth="1"/>
    <col min="11284" max="11284" width="11.28515625" style="1" customWidth="1"/>
    <col min="11285" max="11285" width="10" style="1" customWidth="1"/>
    <col min="11286" max="11286" width="11.7109375" style="1" customWidth="1"/>
    <col min="11287" max="11287" width="10.140625" style="1" customWidth="1"/>
    <col min="11288" max="11288" width="8.28515625" style="1" customWidth="1"/>
    <col min="11289" max="11289" width="7.85546875" style="1" customWidth="1"/>
    <col min="11290" max="11290" width="9.28515625" style="1" customWidth="1"/>
    <col min="11291" max="11291" width="9.140625" style="1" customWidth="1"/>
    <col min="11292" max="11292" width="10.28515625" style="1" customWidth="1"/>
    <col min="11293" max="11293" width="13.42578125" style="1" customWidth="1"/>
    <col min="11294" max="11294" width="8.42578125" style="1" customWidth="1"/>
    <col min="11295" max="11295" width="10.140625" style="1" customWidth="1"/>
    <col min="11296" max="11529" width="9.140625" style="1"/>
    <col min="11530" max="11530" width="34.28515625" style="1" customWidth="1"/>
    <col min="11531" max="11531" width="7" style="1" customWidth="1"/>
    <col min="11532" max="11532" width="0" style="1" hidden="1" customWidth="1"/>
    <col min="11533" max="11533" width="13.85546875" style="1" customWidth="1"/>
    <col min="11534" max="11534" width="10.7109375" style="1" customWidth="1"/>
    <col min="11535" max="11535" width="11.28515625" style="1" customWidth="1"/>
    <col min="11536" max="11536" width="12.42578125" style="1" customWidth="1"/>
    <col min="11537" max="11538" width="10.5703125" style="1" customWidth="1"/>
    <col min="11539" max="11539" width="10.85546875" style="1" customWidth="1"/>
    <col min="11540" max="11540" width="11.28515625" style="1" customWidth="1"/>
    <col min="11541" max="11541" width="10" style="1" customWidth="1"/>
    <col min="11542" max="11542" width="11.7109375" style="1" customWidth="1"/>
    <col min="11543" max="11543" width="10.140625" style="1" customWidth="1"/>
    <col min="11544" max="11544" width="8.28515625" style="1" customWidth="1"/>
    <col min="11545" max="11545" width="7.85546875" style="1" customWidth="1"/>
    <col min="11546" max="11546" width="9.28515625" style="1" customWidth="1"/>
    <col min="11547" max="11547" width="9.140625" style="1" customWidth="1"/>
    <col min="11548" max="11548" width="10.28515625" style="1" customWidth="1"/>
    <col min="11549" max="11549" width="13.42578125" style="1" customWidth="1"/>
    <col min="11550" max="11550" width="8.42578125" style="1" customWidth="1"/>
    <col min="11551" max="11551" width="10.140625" style="1" customWidth="1"/>
    <col min="11552" max="11785" width="9.140625" style="1"/>
    <col min="11786" max="11786" width="34.28515625" style="1" customWidth="1"/>
    <col min="11787" max="11787" width="7" style="1" customWidth="1"/>
    <col min="11788" max="11788" width="0" style="1" hidden="1" customWidth="1"/>
    <col min="11789" max="11789" width="13.85546875" style="1" customWidth="1"/>
    <col min="11790" max="11790" width="10.7109375" style="1" customWidth="1"/>
    <col min="11791" max="11791" width="11.28515625" style="1" customWidth="1"/>
    <col min="11792" max="11792" width="12.42578125" style="1" customWidth="1"/>
    <col min="11793" max="11794" width="10.5703125" style="1" customWidth="1"/>
    <col min="11795" max="11795" width="10.85546875" style="1" customWidth="1"/>
    <col min="11796" max="11796" width="11.28515625" style="1" customWidth="1"/>
    <col min="11797" max="11797" width="10" style="1" customWidth="1"/>
    <col min="11798" max="11798" width="11.7109375" style="1" customWidth="1"/>
    <col min="11799" max="11799" width="10.140625" style="1" customWidth="1"/>
    <col min="11800" max="11800" width="8.28515625" style="1" customWidth="1"/>
    <col min="11801" max="11801" width="7.85546875" style="1" customWidth="1"/>
    <col min="11802" max="11802" width="9.28515625" style="1" customWidth="1"/>
    <col min="11803" max="11803" width="9.140625" style="1" customWidth="1"/>
    <col min="11804" max="11804" width="10.28515625" style="1" customWidth="1"/>
    <col min="11805" max="11805" width="13.42578125" style="1" customWidth="1"/>
    <col min="11806" max="11806" width="8.42578125" style="1" customWidth="1"/>
    <col min="11807" max="11807" width="10.140625" style="1" customWidth="1"/>
    <col min="11808" max="12041" width="9.140625" style="1"/>
    <col min="12042" max="12042" width="34.28515625" style="1" customWidth="1"/>
    <col min="12043" max="12043" width="7" style="1" customWidth="1"/>
    <col min="12044" max="12044" width="0" style="1" hidden="1" customWidth="1"/>
    <col min="12045" max="12045" width="13.85546875" style="1" customWidth="1"/>
    <col min="12046" max="12046" width="10.7109375" style="1" customWidth="1"/>
    <col min="12047" max="12047" width="11.28515625" style="1" customWidth="1"/>
    <col min="12048" max="12048" width="12.42578125" style="1" customWidth="1"/>
    <col min="12049" max="12050" width="10.5703125" style="1" customWidth="1"/>
    <col min="12051" max="12051" width="10.85546875" style="1" customWidth="1"/>
    <col min="12052" max="12052" width="11.28515625" style="1" customWidth="1"/>
    <col min="12053" max="12053" width="10" style="1" customWidth="1"/>
    <col min="12054" max="12054" width="11.7109375" style="1" customWidth="1"/>
    <col min="12055" max="12055" width="10.140625" style="1" customWidth="1"/>
    <col min="12056" max="12056" width="8.28515625" style="1" customWidth="1"/>
    <col min="12057" max="12057" width="7.85546875" style="1" customWidth="1"/>
    <col min="12058" max="12058" width="9.28515625" style="1" customWidth="1"/>
    <col min="12059" max="12059" width="9.140625" style="1" customWidth="1"/>
    <col min="12060" max="12060" width="10.28515625" style="1" customWidth="1"/>
    <col min="12061" max="12061" width="13.42578125" style="1" customWidth="1"/>
    <col min="12062" max="12062" width="8.42578125" style="1" customWidth="1"/>
    <col min="12063" max="12063" width="10.140625" style="1" customWidth="1"/>
    <col min="12064" max="12297" width="9.140625" style="1"/>
    <col min="12298" max="12298" width="34.28515625" style="1" customWidth="1"/>
    <col min="12299" max="12299" width="7" style="1" customWidth="1"/>
    <col min="12300" max="12300" width="0" style="1" hidden="1" customWidth="1"/>
    <col min="12301" max="12301" width="13.85546875" style="1" customWidth="1"/>
    <col min="12302" max="12302" width="10.7109375" style="1" customWidth="1"/>
    <col min="12303" max="12303" width="11.28515625" style="1" customWidth="1"/>
    <col min="12304" max="12304" width="12.42578125" style="1" customWidth="1"/>
    <col min="12305" max="12306" width="10.5703125" style="1" customWidth="1"/>
    <col min="12307" max="12307" width="10.85546875" style="1" customWidth="1"/>
    <col min="12308" max="12308" width="11.28515625" style="1" customWidth="1"/>
    <col min="12309" max="12309" width="10" style="1" customWidth="1"/>
    <col min="12310" max="12310" width="11.7109375" style="1" customWidth="1"/>
    <col min="12311" max="12311" width="10.140625" style="1" customWidth="1"/>
    <col min="12312" max="12312" width="8.28515625" style="1" customWidth="1"/>
    <col min="12313" max="12313" width="7.85546875" style="1" customWidth="1"/>
    <col min="12314" max="12314" width="9.28515625" style="1" customWidth="1"/>
    <col min="12315" max="12315" width="9.140625" style="1" customWidth="1"/>
    <col min="12316" max="12316" width="10.28515625" style="1" customWidth="1"/>
    <col min="12317" max="12317" width="13.42578125" style="1" customWidth="1"/>
    <col min="12318" max="12318" width="8.42578125" style="1" customWidth="1"/>
    <col min="12319" max="12319" width="10.140625" style="1" customWidth="1"/>
    <col min="12320" max="12553" width="9.140625" style="1"/>
    <col min="12554" max="12554" width="34.28515625" style="1" customWidth="1"/>
    <col min="12555" max="12555" width="7" style="1" customWidth="1"/>
    <col min="12556" max="12556" width="0" style="1" hidden="1" customWidth="1"/>
    <col min="12557" max="12557" width="13.85546875" style="1" customWidth="1"/>
    <col min="12558" max="12558" width="10.7109375" style="1" customWidth="1"/>
    <col min="12559" max="12559" width="11.28515625" style="1" customWidth="1"/>
    <col min="12560" max="12560" width="12.42578125" style="1" customWidth="1"/>
    <col min="12561" max="12562" width="10.5703125" style="1" customWidth="1"/>
    <col min="12563" max="12563" width="10.85546875" style="1" customWidth="1"/>
    <col min="12564" max="12564" width="11.28515625" style="1" customWidth="1"/>
    <col min="12565" max="12565" width="10" style="1" customWidth="1"/>
    <col min="12566" max="12566" width="11.7109375" style="1" customWidth="1"/>
    <col min="12567" max="12567" width="10.140625" style="1" customWidth="1"/>
    <col min="12568" max="12568" width="8.28515625" style="1" customWidth="1"/>
    <col min="12569" max="12569" width="7.85546875" style="1" customWidth="1"/>
    <col min="12570" max="12570" width="9.28515625" style="1" customWidth="1"/>
    <col min="12571" max="12571" width="9.140625" style="1" customWidth="1"/>
    <col min="12572" max="12572" width="10.28515625" style="1" customWidth="1"/>
    <col min="12573" max="12573" width="13.42578125" style="1" customWidth="1"/>
    <col min="12574" max="12574" width="8.42578125" style="1" customWidth="1"/>
    <col min="12575" max="12575" width="10.140625" style="1" customWidth="1"/>
    <col min="12576" max="12809" width="9.140625" style="1"/>
    <col min="12810" max="12810" width="34.28515625" style="1" customWidth="1"/>
    <col min="12811" max="12811" width="7" style="1" customWidth="1"/>
    <col min="12812" max="12812" width="0" style="1" hidden="1" customWidth="1"/>
    <col min="12813" max="12813" width="13.85546875" style="1" customWidth="1"/>
    <col min="12814" max="12814" width="10.7109375" style="1" customWidth="1"/>
    <col min="12815" max="12815" width="11.28515625" style="1" customWidth="1"/>
    <col min="12816" max="12816" width="12.42578125" style="1" customWidth="1"/>
    <col min="12817" max="12818" width="10.5703125" style="1" customWidth="1"/>
    <col min="12819" max="12819" width="10.85546875" style="1" customWidth="1"/>
    <col min="12820" max="12820" width="11.28515625" style="1" customWidth="1"/>
    <col min="12821" max="12821" width="10" style="1" customWidth="1"/>
    <col min="12822" max="12822" width="11.7109375" style="1" customWidth="1"/>
    <col min="12823" max="12823" width="10.140625" style="1" customWidth="1"/>
    <col min="12824" max="12824" width="8.28515625" style="1" customWidth="1"/>
    <col min="12825" max="12825" width="7.85546875" style="1" customWidth="1"/>
    <col min="12826" max="12826" width="9.28515625" style="1" customWidth="1"/>
    <col min="12827" max="12827" width="9.140625" style="1" customWidth="1"/>
    <col min="12828" max="12828" width="10.28515625" style="1" customWidth="1"/>
    <col min="12829" max="12829" width="13.42578125" style="1" customWidth="1"/>
    <col min="12830" max="12830" width="8.42578125" style="1" customWidth="1"/>
    <col min="12831" max="12831" width="10.140625" style="1" customWidth="1"/>
    <col min="12832" max="13065" width="9.140625" style="1"/>
    <col min="13066" max="13066" width="34.28515625" style="1" customWidth="1"/>
    <col min="13067" max="13067" width="7" style="1" customWidth="1"/>
    <col min="13068" max="13068" width="0" style="1" hidden="1" customWidth="1"/>
    <col min="13069" max="13069" width="13.85546875" style="1" customWidth="1"/>
    <col min="13070" max="13070" width="10.7109375" style="1" customWidth="1"/>
    <col min="13071" max="13071" width="11.28515625" style="1" customWidth="1"/>
    <col min="13072" max="13072" width="12.42578125" style="1" customWidth="1"/>
    <col min="13073" max="13074" width="10.5703125" style="1" customWidth="1"/>
    <col min="13075" max="13075" width="10.85546875" style="1" customWidth="1"/>
    <col min="13076" max="13076" width="11.28515625" style="1" customWidth="1"/>
    <col min="13077" max="13077" width="10" style="1" customWidth="1"/>
    <col min="13078" max="13078" width="11.7109375" style="1" customWidth="1"/>
    <col min="13079" max="13079" width="10.140625" style="1" customWidth="1"/>
    <col min="13080" max="13080" width="8.28515625" style="1" customWidth="1"/>
    <col min="13081" max="13081" width="7.85546875" style="1" customWidth="1"/>
    <col min="13082" max="13082" width="9.28515625" style="1" customWidth="1"/>
    <col min="13083" max="13083" width="9.140625" style="1" customWidth="1"/>
    <col min="13084" max="13084" width="10.28515625" style="1" customWidth="1"/>
    <col min="13085" max="13085" width="13.42578125" style="1" customWidth="1"/>
    <col min="13086" max="13086" width="8.42578125" style="1" customWidth="1"/>
    <col min="13087" max="13087" width="10.140625" style="1" customWidth="1"/>
    <col min="13088" max="13321" width="9.140625" style="1"/>
    <col min="13322" max="13322" width="34.28515625" style="1" customWidth="1"/>
    <col min="13323" max="13323" width="7" style="1" customWidth="1"/>
    <col min="13324" max="13324" width="0" style="1" hidden="1" customWidth="1"/>
    <col min="13325" max="13325" width="13.85546875" style="1" customWidth="1"/>
    <col min="13326" max="13326" width="10.7109375" style="1" customWidth="1"/>
    <col min="13327" max="13327" width="11.28515625" style="1" customWidth="1"/>
    <col min="13328" max="13328" width="12.42578125" style="1" customWidth="1"/>
    <col min="13329" max="13330" width="10.5703125" style="1" customWidth="1"/>
    <col min="13331" max="13331" width="10.85546875" style="1" customWidth="1"/>
    <col min="13332" max="13332" width="11.28515625" style="1" customWidth="1"/>
    <col min="13333" max="13333" width="10" style="1" customWidth="1"/>
    <col min="13334" max="13334" width="11.7109375" style="1" customWidth="1"/>
    <col min="13335" max="13335" width="10.140625" style="1" customWidth="1"/>
    <col min="13336" max="13336" width="8.28515625" style="1" customWidth="1"/>
    <col min="13337" max="13337" width="7.85546875" style="1" customWidth="1"/>
    <col min="13338" max="13338" width="9.28515625" style="1" customWidth="1"/>
    <col min="13339" max="13339" width="9.140625" style="1" customWidth="1"/>
    <col min="13340" max="13340" width="10.28515625" style="1" customWidth="1"/>
    <col min="13341" max="13341" width="13.42578125" style="1" customWidth="1"/>
    <col min="13342" max="13342" width="8.42578125" style="1" customWidth="1"/>
    <col min="13343" max="13343" width="10.140625" style="1" customWidth="1"/>
    <col min="13344" max="13577" width="9.140625" style="1"/>
    <col min="13578" max="13578" width="34.28515625" style="1" customWidth="1"/>
    <col min="13579" max="13579" width="7" style="1" customWidth="1"/>
    <col min="13580" max="13580" width="0" style="1" hidden="1" customWidth="1"/>
    <col min="13581" max="13581" width="13.85546875" style="1" customWidth="1"/>
    <col min="13582" max="13582" width="10.7109375" style="1" customWidth="1"/>
    <col min="13583" max="13583" width="11.28515625" style="1" customWidth="1"/>
    <col min="13584" max="13584" width="12.42578125" style="1" customWidth="1"/>
    <col min="13585" max="13586" width="10.5703125" style="1" customWidth="1"/>
    <col min="13587" max="13587" width="10.85546875" style="1" customWidth="1"/>
    <col min="13588" max="13588" width="11.28515625" style="1" customWidth="1"/>
    <col min="13589" max="13589" width="10" style="1" customWidth="1"/>
    <col min="13590" max="13590" width="11.7109375" style="1" customWidth="1"/>
    <col min="13591" max="13591" width="10.140625" style="1" customWidth="1"/>
    <col min="13592" max="13592" width="8.28515625" style="1" customWidth="1"/>
    <col min="13593" max="13593" width="7.85546875" style="1" customWidth="1"/>
    <col min="13594" max="13594" width="9.28515625" style="1" customWidth="1"/>
    <col min="13595" max="13595" width="9.140625" style="1" customWidth="1"/>
    <col min="13596" max="13596" width="10.28515625" style="1" customWidth="1"/>
    <col min="13597" max="13597" width="13.42578125" style="1" customWidth="1"/>
    <col min="13598" max="13598" width="8.42578125" style="1" customWidth="1"/>
    <col min="13599" max="13599" width="10.140625" style="1" customWidth="1"/>
    <col min="13600" max="13833" width="9.140625" style="1"/>
    <col min="13834" max="13834" width="34.28515625" style="1" customWidth="1"/>
    <col min="13835" max="13835" width="7" style="1" customWidth="1"/>
    <col min="13836" max="13836" width="0" style="1" hidden="1" customWidth="1"/>
    <col min="13837" max="13837" width="13.85546875" style="1" customWidth="1"/>
    <col min="13838" max="13838" width="10.7109375" style="1" customWidth="1"/>
    <col min="13839" max="13839" width="11.28515625" style="1" customWidth="1"/>
    <col min="13840" max="13840" width="12.42578125" style="1" customWidth="1"/>
    <col min="13841" max="13842" width="10.5703125" style="1" customWidth="1"/>
    <col min="13843" max="13843" width="10.85546875" style="1" customWidth="1"/>
    <col min="13844" max="13844" width="11.28515625" style="1" customWidth="1"/>
    <col min="13845" max="13845" width="10" style="1" customWidth="1"/>
    <col min="13846" max="13846" width="11.7109375" style="1" customWidth="1"/>
    <col min="13847" max="13847" width="10.140625" style="1" customWidth="1"/>
    <col min="13848" max="13848" width="8.28515625" style="1" customWidth="1"/>
    <col min="13849" max="13849" width="7.85546875" style="1" customWidth="1"/>
    <col min="13850" max="13850" width="9.28515625" style="1" customWidth="1"/>
    <col min="13851" max="13851" width="9.140625" style="1" customWidth="1"/>
    <col min="13852" max="13852" width="10.28515625" style="1" customWidth="1"/>
    <col min="13853" max="13853" width="13.42578125" style="1" customWidth="1"/>
    <col min="13854" max="13854" width="8.42578125" style="1" customWidth="1"/>
    <col min="13855" max="13855" width="10.140625" style="1" customWidth="1"/>
    <col min="13856" max="14089" width="9.140625" style="1"/>
    <col min="14090" max="14090" width="34.28515625" style="1" customWidth="1"/>
    <col min="14091" max="14091" width="7" style="1" customWidth="1"/>
    <col min="14092" max="14092" width="0" style="1" hidden="1" customWidth="1"/>
    <col min="14093" max="14093" width="13.85546875" style="1" customWidth="1"/>
    <col min="14094" max="14094" width="10.7109375" style="1" customWidth="1"/>
    <col min="14095" max="14095" width="11.28515625" style="1" customWidth="1"/>
    <col min="14096" max="14096" width="12.42578125" style="1" customWidth="1"/>
    <col min="14097" max="14098" width="10.5703125" style="1" customWidth="1"/>
    <col min="14099" max="14099" width="10.85546875" style="1" customWidth="1"/>
    <col min="14100" max="14100" width="11.28515625" style="1" customWidth="1"/>
    <col min="14101" max="14101" width="10" style="1" customWidth="1"/>
    <col min="14102" max="14102" width="11.7109375" style="1" customWidth="1"/>
    <col min="14103" max="14103" width="10.140625" style="1" customWidth="1"/>
    <col min="14104" max="14104" width="8.28515625" style="1" customWidth="1"/>
    <col min="14105" max="14105" width="7.85546875" style="1" customWidth="1"/>
    <col min="14106" max="14106" width="9.28515625" style="1" customWidth="1"/>
    <col min="14107" max="14107" width="9.140625" style="1" customWidth="1"/>
    <col min="14108" max="14108" width="10.28515625" style="1" customWidth="1"/>
    <col min="14109" max="14109" width="13.42578125" style="1" customWidth="1"/>
    <col min="14110" max="14110" width="8.42578125" style="1" customWidth="1"/>
    <col min="14111" max="14111" width="10.140625" style="1" customWidth="1"/>
    <col min="14112" max="14345" width="9.140625" style="1"/>
    <col min="14346" max="14346" width="34.28515625" style="1" customWidth="1"/>
    <col min="14347" max="14347" width="7" style="1" customWidth="1"/>
    <col min="14348" max="14348" width="0" style="1" hidden="1" customWidth="1"/>
    <col min="14349" max="14349" width="13.85546875" style="1" customWidth="1"/>
    <col min="14350" max="14350" width="10.7109375" style="1" customWidth="1"/>
    <col min="14351" max="14351" width="11.28515625" style="1" customWidth="1"/>
    <col min="14352" max="14352" width="12.42578125" style="1" customWidth="1"/>
    <col min="14353" max="14354" width="10.5703125" style="1" customWidth="1"/>
    <col min="14355" max="14355" width="10.85546875" style="1" customWidth="1"/>
    <col min="14356" max="14356" width="11.28515625" style="1" customWidth="1"/>
    <col min="14357" max="14357" width="10" style="1" customWidth="1"/>
    <col min="14358" max="14358" width="11.7109375" style="1" customWidth="1"/>
    <col min="14359" max="14359" width="10.140625" style="1" customWidth="1"/>
    <col min="14360" max="14360" width="8.28515625" style="1" customWidth="1"/>
    <col min="14361" max="14361" width="7.85546875" style="1" customWidth="1"/>
    <col min="14362" max="14362" width="9.28515625" style="1" customWidth="1"/>
    <col min="14363" max="14363" width="9.140625" style="1" customWidth="1"/>
    <col min="14364" max="14364" width="10.28515625" style="1" customWidth="1"/>
    <col min="14365" max="14365" width="13.42578125" style="1" customWidth="1"/>
    <col min="14366" max="14366" width="8.42578125" style="1" customWidth="1"/>
    <col min="14367" max="14367" width="10.140625" style="1" customWidth="1"/>
    <col min="14368" max="14601" width="9.140625" style="1"/>
    <col min="14602" max="14602" width="34.28515625" style="1" customWidth="1"/>
    <col min="14603" max="14603" width="7" style="1" customWidth="1"/>
    <col min="14604" max="14604" width="0" style="1" hidden="1" customWidth="1"/>
    <col min="14605" max="14605" width="13.85546875" style="1" customWidth="1"/>
    <col min="14606" max="14606" width="10.7109375" style="1" customWidth="1"/>
    <col min="14607" max="14607" width="11.28515625" style="1" customWidth="1"/>
    <col min="14608" max="14608" width="12.42578125" style="1" customWidth="1"/>
    <col min="14609" max="14610" width="10.5703125" style="1" customWidth="1"/>
    <col min="14611" max="14611" width="10.85546875" style="1" customWidth="1"/>
    <col min="14612" max="14612" width="11.28515625" style="1" customWidth="1"/>
    <col min="14613" max="14613" width="10" style="1" customWidth="1"/>
    <col min="14614" max="14614" width="11.7109375" style="1" customWidth="1"/>
    <col min="14615" max="14615" width="10.140625" style="1" customWidth="1"/>
    <col min="14616" max="14616" width="8.28515625" style="1" customWidth="1"/>
    <col min="14617" max="14617" width="7.85546875" style="1" customWidth="1"/>
    <col min="14618" max="14618" width="9.28515625" style="1" customWidth="1"/>
    <col min="14619" max="14619" width="9.140625" style="1" customWidth="1"/>
    <col min="14620" max="14620" width="10.28515625" style="1" customWidth="1"/>
    <col min="14621" max="14621" width="13.42578125" style="1" customWidth="1"/>
    <col min="14622" max="14622" width="8.42578125" style="1" customWidth="1"/>
    <col min="14623" max="14623" width="10.140625" style="1" customWidth="1"/>
    <col min="14624" max="14857" width="9.140625" style="1"/>
    <col min="14858" max="14858" width="34.28515625" style="1" customWidth="1"/>
    <col min="14859" max="14859" width="7" style="1" customWidth="1"/>
    <col min="14860" max="14860" width="0" style="1" hidden="1" customWidth="1"/>
    <col min="14861" max="14861" width="13.85546875" style="1" customWidth="1"/>
    <col min="14862" max="14862" width="10.7109375" style="1" customWidth="1"/>
    <col min="14863" max="14863" width="11.28515625" style="1" customWidth="1"/>
    <col min="14864" max="14864" width="12.42578125" style="1" customWidth="1"/>
    <col min="14865" max="14866" width="10.5703125" style="1" customWidth="1"/>
    <col min="14867" max="14867" width="10.85546875" style="1" customWidth="1"/>
    <col min="14868" max="14868" width="11.28515625" style="1" customWidth="1"/>
    <col min="14869" max="14869" width="10" style="1" customWidth="1"/>
    <col min="14870" max="14870" width="11.7109375" style="1" customWidth="1"/>
    <col min="14871" max="14871" width="10.140625" style="1" customWidth="1"/>
    <col min="14872" max="14872" width="8.28515625" style="1" customWidth="1"/>
    <col min="14873" max="14873" width="7.85546875" style="1" customWidth="1"/>
    <col min="14874" max="14874" width="9.28515625" style="1" customWidth="1"/>
    <col min="14875" max="14875" width="9.140625" style="1" customWidth="1"/>
    <col min="14876" max="14876" width="10.28515625" style="1" customWidth="1"/>
    <col min="14877" max="14877" width="13.42578125" style="1" customWidth="1"/>
    <col min="14878" max="14878" width="8.42578125" style="1" customWidth="1"/>
    <col min="14879" max="14879" width="10.140625" style="1" customWidth="1"/>
    <col min="14880" max="15113" width="9.140625" style="1"/>
    <col min="15114" max="15114" width="34.28515625" style="1" customWidth="1"/>
    <col min="15115" max="15115" width="7" style="1" customWidth="1"/>
    <col min="15116" max="15116" width="0" style="1" hidden="1" customWidth="1"/>
    <col min="15117" max="15117" width="13.85546875" style="1" customWidth="1"/>
    <col min="15118" max="15118" width="10.7109375" style="1" customWidth="1"/>
    <col min="15119" max="15119" width="11.28515625" style="1" customWidth="1"/>
    <col min="15120" max="15120" width="12.42578125" style="1" customWidth="1"/>
    <col min="15121" max="15122" width="10.5703125" style="1" customWidth="1"/>
    <col min="15123" max="15123" width="10.85546875" style="1" customWidth="1"/>
    <col min="15124" max="15124" width="11.28515625" style="1" customWidth="1"/>
    <col min="15125" max="15125" width="10" style="1" customWidth="1"/>
    <col min="15126" max="15126" width="11.7109375" style="1" customWidth="1"/>
    <col min="15127" max="15127" width="10.140625" style="1" customWidth="1"/>
    <col min="15128" max="15128" width="8.28515625" style="1" customWidth="1"/>
    <col min="15129" max="15129" width="7.85546875" style="1" customWidth="1"/>
    <col min="15130" max="15130" width="9.28515625" style="1" customWidth="1"/>
    <col min="15131" max="15131" width="9.140625" style="1" customWidth="1"/>
    <col min="15132" max="15132" width="10.28515625" style="1" customWidth="1"/>
    <col min="15133" max="15133" width="13.42578125" style="1" customWidth="1"/>
    <col min="15134" max="15134" width="8.42578125" style="1" customWidth="1"/>
    <col min="15135" max="15135" width="10.140625" style="1" customWidth="1"/>
    <col min="15136" max="15369" width="9.140625" style="1"/>
    <col min="15370" max="15370" width="34.28515625" style="1" customWidth="1"/>
    <col min="15371" max="15371" width="7" style="1" customWidth="1"/>
    <col min="15372" max="15372" width="0" style="1" hidden="1" customWidth="1"/>
    <col min="15373" max="15373" width="13.85546875" style="1" customWidth="1"/>
    <col min="15374" max="15374" width="10.7109375" style="1" customWidth="1"/>
    <col min="15375" max="15375" width="11.28515625" style="1" customWidth="1"/>
    <col min="15376" max="15376" width="12.42578125" style="1" customWidth="1"/>
    <col min="15377" max="15378" width="10.5703125" style="1" customWidth="1"/>
    <col min="15379" max="15379" width="10.85546875" style="1" customWidth="1"/>
    <col min="15380" max="15380" width="11.28515625" style="1" customWidth="1"/>
    <col min="15381" max="15381" width="10" style="1" customWidth="1"/>
    <col min="15382" max="15382" width="11.7109375" style="1" customWidth="1"/>
    <col min="15383" max="15383" width="10.140625" style="1" customWidth="1"/>
    <col min="15384" max="15384" width="8.28515625" style="1" customWidth="1"/>
    <col min="15385" max="15385" width="7.85546875" style="1" customWidth="1"/>
    <col min="15386" max="15386" width="9.28515625" style="1" customWidth="1"/>
    <col min="15387" max="15387" width="9.140625" style="1" customWidth="1"/>
    <col min="15388" max="15388" width="10.28515625" style="1" customWidth="1"/>
    <col min="15389" max="15389" width="13.42578125" style="1" customWidth="1"/>
    <col min="15390" max="15390" width="8.42578125" style="1" customWidth="1"/>
    <col min="15391" max="15391" width="10.140625" style="1" customWidth="1"/>
    <col min="15392" max="15625" width="9.140625" style="1"/>
    <col min="15626" max="15626" width="34.28515625" style="1" customWidth="1"/>
    <col min="15627" max="15627" width="7" style="1" customWidth="1"/>
    <col min="15628" max="15628" width="0" style="1" hidden="1" customWidth="1"/>
    <col min="15629" max="15629" width="13.85546875" style="1" customWidth="1"/>
    <col min="15630" max="15630" width="10.7109375" style="1" customWidth="1"/>
    <col min="15631" max="15631" width="11.28515625" style="1" customWidth="1"/>
    <col min="15632" max="15632" width="12.42578125" style="1" customWidth="1"/>
    <col min="15633" max="15634" width="10.5703125" style="1" customWidth="1"/>
    <col min="15635" max="15635" width="10.85546875" style="1" customWidth="1"/>
    <col min="15636" max="15636" width="11.28515625" style="1" customWidth="1"/>
    <col min="15637" max="15637" width="10" style="1" customWidth="1"/>
    <col min="15638" max="15638" width="11.7109375" style="1" customWidth="1"/>
    <col min="15639" max="15639" width="10.140625" style="1" customWidth="1"/>
    <col min="15640" max="15640" width="8.28515625" style="1" customWidth="1"/>
    <col min="15641" max="15641" width="7.85546875" style="1" customWidth="1"/>
    <col min="15642" max="15642" width="9.28515625" style="1" customWidth="1"/>
    <col min="15643" max="15643" width="9.140625" style="1" customWidth="1"/>
    <col min="15644" max="15644" width="10.28515625" style="1" customWidth="1"/>
    <col min="15645" max="15645" width="13.42578125" style="1" customWidth="1"/>
    <col min="15646" max="15646" width="8.42578125" style="1" customWidth="1"/>
    <col min="15647" max="15647" width="10.140625" style="1" customWidth="1"/>
    <col min="15648" max="15881" width="9.140625" style="1"/>
    <col min="15882" max="15882" width="34.28515625" style="1" customWidth="1"/>
    <col min="15883" max="15883" width="7" style="1" customWidth="1"/>
    <col min="15884" max="15884" width="0" style="1" hidden="1" customWidth="1"/>
    <col min="15885" max="15885" width="13.85546875" style="1" customWidth="1"/>
    <col min="15886" max="15886" width="10.7109375" style="1" customWidth="1"/>
    <col min="15887" max="15887" width="11.28515625" style="1" customWidth="1"/>
    <col min="15888" max="15888" width="12.42578125" style="1" customWidth="1"/>
    <col min="15889" max="15890" width="10.5703125" style="1" customWidth="1"/>
    <col min="15891" max="15891" width="10.85546875" style="1" customWidth="1"/>
    <col min="15892" max="15892" width="11.28515625" style="1" customWidth="1"/>
    <col min="15893" max="15893" width="10" style="1" customWidth="1"/>
    <col min="15894" max="15894" width="11.7109375" style="1" customWidth="1"/>
    <col min="15895" max="15895" width="10.140625" style="1" customWidth="1"/>
    <col min="15896" max="15896" width="8.28515625" style="1" customWidth="1"/>
    <col min="15897" max="15897" width="7.85546875" style="1" customWidth="1"/>
    <col min="15898" max="15898" width="9.28515625" style="1" customWidth="1"/>
    <col min="15899" max="15899" width="9.140625" style="1" customWidth="1"/>
    <col min="15900" max="15900" width="10.28515625" style="1" customWidth="1"/>
    <col min="15901" max="15901" width="13.42578125" style="1" customWidth="1"/>
    <col min="15902" max="15902" width="8.42578125" style="1" customWidth="1"/>
    <col min="15903" max="15903" width="10.140625" style="1" customWidth="1"/>
    <col min="15904" max="16137" width="9.140625" style="1"/>
    <col min="16138" max="16138" width="34.28515625" style="1" customWidth="1"/>
    <col min="16139" max="16139" width="7" style="1" customWidth="1"/>
    <col min="16140" max="16140" width="0" style="1" hidden="1" customWidth="1"/>
    <col min="16141" max="16141" width="13.85546875" style="1" customWidth="1"/>
    <col min="16142" max="16142" width="10.7109375" style="1" customWidth="1"/>
    <col min="16143" max="16143" width="11.28515625" style="1" customWidth="1"/>
    <col min="16144" max="16144" width="12.42578125" style="1" customWidth="1"/>
    <col min="16145" max="16146" width="10.5703125" style="1" customWidth="1"/>
    <col min="16147" max="16147" width="10.85546875" style="1" customWidth="1"/>
    <col min="16148" max="16148" width="11.28515625" style="1" customWidth="1"/>
    <col min="16149" max="16149" width="10" style="1" customWidth="1"/>
    <col min="16150" max="16150" width="11.7109375" style="1" customWidth="1"/>
    <col min="16151" max="16151" width="10.140625" style="1" customWidth="1"/>
    <col min="16152" max="16152" width="8.28515625" style="1" customWidth="1"/>
    <col min="16153" max="16153" width="7.85546875" style="1" customWidth="1"/>
    <col min="16154" max="16154" width="9.28515625" style="1" customWidth="1"/>
    <col min="16155" max="16155" width="9.140625" style="1" customWidth="1"/>
    <col min="16156" max="16156" width="10.28515625" style="1" customWidth="1"/>
    <col min="16157" max="16157" width="13.42578125" style="1" customWidth="1"/>
    <col min="16158" max="16158" width="8.42578125" style="1" customWidth="1"/>
    <col min="16159" max="16159" width="10.140625" style="1" customWidth="1"/>
    <col min="16160" max="16384" width="9.140625" style="1"/>
  </cols>
  <sheetData>
    <row r="1" spans="1:31" ht="65.25" customHeight="1" x14ac:dyDescent="0.3">
      <c r="C1" s="3"/>
      <c r="D1" s="3"/>
      <c r="E1" s="3"/>
      <c r="F1" s="3"/>
      <c r="G1" s="3"/>
      <c r="H1" s="3"/>
      <c r="I1" s="3"/>
      <c r="U1" s="1"/>
      <c r="X1" s="1"/>
      <c r="Y1" s="1"/>
      <c r="Z1" s="4" t="s">
        <v>0</v>
      </c>
      <c r="AA1" s="5"/>
      <c r="AB1" s="5"/>
      <c r="AC1" s="5"/>
      <c r="AD1" s="5"/>
    </row>
    <row r="2" spans="1:31" x14ac:dyDescent="0.3">
      <c r="C2" s="3"/>
      <c r="D2" s="3"/>
      <c r="E2" s="3"/>
      <c r="F2" s="3"/>
      <c r="G2" s="3"/>
      <c r="H2" s="3"/>
      <c r="I2" s="3"/>
      <c r="U2" s="1"/>
      <c r="X2" s="1"/>
      <c r="Y2" s="1"/>
      <c r="Z2" s="6"/>
      <c r="AA2" s="7"/>
      <c r="AB2" s="7"/>
      <c r="AC2" s="7"/>
      <c r="AD2" s="7"/>
    </row>
    <row r="3" spans="1:31" ht="64.5" customHeight="1" x14ac:dyDescent="0.35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7"/>
    </row>
    <row r="4" spans="1:31" x14ac:dyDescent="0.3">
      <c r="B4" s="11"/>
      <c r="C4" s="12"/>
      <c r="D4" s="12"/>
      <c r="E4" s="12"/>
      <c r="F4" s="12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4"/>
      <c r="Y4" s="14"/>
      <c r="Z4" s="14"/>
      <c r="AA4" s="14"/>
      <c r="AB4" s="14"/>
      <c r="AC4" s="14"/>
      <c r="AD4" s="1"/>
    </row>
    <row r="5" spans="1:31" ht="117" customHeight="1" x14ac:dyDescent="0.25">
      <c r="A5" s="15" t="s">
        <v>2</v>
      </c>
      <c r="B5" s="16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19" t="s">
        <v>8</v>
      </c>
      <c r="H5" s="19" t="s">
        <v>9</v>
      </c>
      <c r="I5" s="19" t="s">
        <v>10</v>
      </c>
      <c r="J5" s="20" t="s">
        <v>11</v>
      </c>
      <c r="K5" s="21" t="s">
        <v>12</v>
      </c>
      <c r="L5" s="21" t="s">
        <v>13</v>
      </c>
      <c r="M5" s="21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1" t="s">
        <v>20</v>
      </c>
      <c r="T5" s="21" t="s">
        <v>21</v>
      </c>
      <c r="U5" s="21" t="s">
        <v>22</v>
      </c>
      <c r="V5" s="21" t="s">
        <v>23</v>
      </c>
      <c r="W5" s="21" t="s">
        <v>24</v>
      </c>
      <c r="X5" s="22" t="s">
        <v>25</v>
      </c>
      <c r="Y5" s="22" t="s">
        <v>26</v>
      </c>
      <c r="Z5" s="22" t="s">
        <v>27</v>
      </c>
      <c r="AA5" s="21" t="s">
        <v>28</v>
      </c>
      <c r="AB5" s="21" t="s">
        <v>29</v>
      </c>
      <c r="AC5" s="21" t="s">
        <v>30</v>
      </c>
      <c r="AD5" s="21" t="s">
        <v>31</v>
      </c>
      <c r="AE5" s="23"/>
    </row>
    <row r="6" spans="1:31" ht="32.25" hidden="1" customHeight="1" x14ac:dyDescent="0.25">
      <c r="A6" s="15">
        <v>1</v>
      </c>
      <c r="B6" s="24" t="s">
        <v>32</v>
      </c>
      <c r="C6" s="25"/>
      <c r="D6" s="25"/>
      <c r="E6" s="25"/>
      <c r="F6" s="25"/>
      <c r="G6" s="26">
        <f>SUM(G8:G13)</f>
        <v>110174.84999999999</v>
      </c>
      <c r="H6" s="26"/>
      <c r="I6" s="26"/>
      <c r="J6" s="27"/>
      <c r="K6" s="28"/>
      <c r="L6" s="21"/>
      <c r="M6" s="21"/>
      <c r="N6" s="21"/>
      <c r="O6" s="21"/>
      <c r="P6" s="21"/>
      <c r="Q6" s="21"/>
      <c r="R6" s="29"/>
      <c r="S6" s="22"/>
      <c r="T6" s="30"/>
      <c r="U6" s="22"/>
      <c r="V6" s="22"/>
      <c r="W6" s="21"/>
      <c r="X6" s="22"/>
      <c r="Y6" s="22"/>
      <c r="Z6" s="22"/>
      <c r="AA6" s="22"/>
      <c r="AB6" s="22"/>
      <c r="AC6" s="22"/>
      <c r="AD6" s="21"/>
      <c r="AE6" s="23"/>
    </row>
    <row r="7" spans="1:31" ht="32.25" hidden="1" customHeight="1" x14ac:dyDescent="0.25">
      <c r="A7" s="15"/>
      <c r="B7" s="31" t="s">
        <v>33</v>
      </c>
      <c r="C7" s="32"/>
      <c r="D7" s="32"/>
      <c r="E7" s="32"/>
      <c r="F7" s="32"/>
      <c r="G7" s="33"/>
      <c r="H7" s="33">
        <v>185919.46</v>
      </c>
      <c r="I7" s="33"/>
      <c r="J7" s="34">
        <f t="shared" ref="J7:AD7" si="0">SUM(J8:J18)-J16</f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>SUM(S8:S18)-S16</f>
        <v>0</v>
      </c>
      <c r="T7" s="34">
        <f t="shared" si="0"/>
        <v>0</v>
      </c>
      <c r="U7" s="34">
        <f t="shared" si="0"/>
        <v>0</v>
      </c>
      <c r="V7" s="34"/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27">
        <f t="shared" si="0"/>
        <v>0</v>
      </c>
      <c r="AE7" s="23"/>
    </row>
    <row r="8" spans="1:31" ht="18.75" hidden="1" customHeight="1" x14ac:dyDescent="0.3">
      <c r="A8" s="15">
        <v>1</v>
      </c>
      <c r="B8" s="35" t="s">
        <v>34</v>
      </c>
      <c r="C8" s="36">
        <v>211</v>
      </c>
      <c r="D8" s="36">
        <f>48608.35+34158</f>
        <v>82766.350000000006</v>
      </c>
      <c r="E8" s="36">
        <v>84348.09</v>
      </c>
      <c r="F8" s="37">
        <v>80200</v>
      </c>
      <c r="G8" s="38">
        <v>84131.02</v>
      </c>
      <c r="H8" s="38">
        <v>110909.68</v>
      </c>
      <c r="I8" s="38"/>
      <c r="J8" s="39"/>
      <c r="K8" s="40"/>
      <c r="L8" s="40"/>
      <c r="M8" s="40"/>
      <c r="N8" s="40"/>
      <c r="O8" s="40"/>
      <c r="P8" s="40"/>
      <c r="Q8" s="40"/>
      <c r="R8" s="40"/>
      <c r="S8" s="41"/>
      <c r="T8" s="41"/>
      <c r="U8" s="41"/>
      <c r="V8" s="41"/>
      <c r="W8" s="40"/>
      <c r="X8" s="40"/>
      <c r="Y8" s="40"/>
      <c r="Z8" s="40"/>
      <c r="AA8" s="41"/>
      <c r="AB8" s="41"/>
      <c r="AC8" s="41"/>
      <c r="AD8" s="40"/>
      <c r="AE8" s="42"/>
    </row>
    <row r="9" spans="1:31" hidden="1" x14ac:dyDescent="0.3">
      <c r="A9" s="15"/>
      <c r="B9" s="35" t="s">
        <v>35</v>
      </c>
      <c r="C9" s="36"/>
      <c r="D9" s="36"/>
      <c r="E9" s="36"/>
      <c r="F9" s="37"/>
      <c r="G9" s="38"/>
      <c r="H9" s="38"/>
      <c r="I9" s="38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2"/>
    </row>
    <row r="10" spans="1:31" s="47" customFormat="1" ht="47.25" hidden="1" x14ac:dyDescent="0.3">
      <c r="A10" s="43"/>
      <c r="B10" s="44" t="s">
        <v>36</v>
      </c>
      <c r="C10" s="36">
        <v>211.21299999999999</v>
      </c>
      <c r="D10" s="36"/>
      <c r="E10" s="36"/>
      <c r="F10" s="37"/>
      <c r="G10" s="37">
        <v>12964.23</v>
      </c>
      <c r="H10" s="37">
        <v>361.05</v>
      </c>
      <c r="I10" s="37"/>
      <c r="J10" s="45"/>
      <c r="K10" s="40"/>
      <c r="L10" s="40"/>
      <c r="M10" s="40"/>
      <c r="N10" s="40"/>
      <c r="O10" s="40"/>
      <c r="P10" s="40"/>
      <c r="Q10" s="40"/>
      <c r="R10" s="40"/>
      <c r="S10" s="41"/>
      <c r="T10" s="41"/>
      <c r="U10" s="41"/>
      <c r="V10" s="41"/>
      <c r="W10" s="40"/>
      <c r="X10" s="40"/>
      <c r="Y10" s="40"/>
      <c r="Z10" s="40"/>
      <c r="AA10" s="41"/>
      <c r="AB10" s="40"/>
      <c r="AC10" s="40"/>
      <c r="AD10" s="40"/>
      <c r="AE10" s="46"/>
    </row>
    <row r="11" spans="1:31" ht="31.5" hidden="1" x14ac:dyDescent="0.3">
      <c r="A11" s="15"/>
      <c r="B11" s="44" t="s">
        <v>37</v>
      </c>
      <c r="C11" s="36">
        <v>211.21299999999999</v>
      </c>
      <c r="D11" s="36"/>
      <c r="E11" s="36"/>
      <c r="F11" s="37"/>
      <c r="G11" s="37">
        <v>1416.69</v>
      </c>
      <c r="H11" s="37">
        <v>20694.580000000002</v>
      </c>
      <c r="I11" s="37"/>
      <c r="J11" s="45"/>
      <c r="K11" s="40"/>
      <c r="L11" s="40"/>
      <c r="M11" s="40"/>
      <c r="N11" s="40"/>
      <c r="O11" s="40"/>
      <c r="P11" s="40"/>
      <c r="Q11" s="40"/>
      <c r="R11" s="40"/>
      <c r="S11" s="41"/>
      <c r="T11" s="41"/>
      <c r="U11" s="41"/>
      <c r="V11" s="41"/>
      <c r="W11" s="45"/>
      <c r="X11" s="40"/>
      <c r="Y11" s="40"/>
      <c r="Z11" s="40"/>
      <c r="AA11" s="41"/>
      <c r="AB11" s="40"/>
      <c r="AC11" s="40"/>
      <c r="AD11" s="40"/>
      <c r="AE11" s="42"/>
    </row>
    <row r="12" spans="1:31" ht="47.25" hidden="1" x14ac:dyDescent="0.3">
      <c r="A12" s="15"/>
      <c r="B12" s="44" t="s">
        <v>38</v>
      </c>
      <c r="C12" s="48" t="s">
        <v>39</v>
      </c>
      <c r="D12" s="36"/>
      <c r="E12" s="36"/>
      <c r="F12" s="37"/>
      <c r="G12" s="37">
        <v>3857.51</v>
      </c>
      <c r="H12" s="37">
        <v>1291.79</v>
      </c>
      <c r="I12" s="37"/>
      <c r="J12" s="45"/>
      <c r="K12" s="40"/>
      <c r="L12" s="40"/>
      <c r="M12" s="40"/>
      <c r="N12" s="40"/>
      <c r="O12" s="40"/>
      <c r="P12" s="40"/>
      <c r="Q12" s="40"/>
      <c r="R12" s="40"/>
      <c r="S12" s="41"/>
      <c r="T12" s="41"/>
      <c r="U12" s="41"/>
      <c r="V12" s="41"/>
      <c r="W12" s="40"/>
      <c r="X12" s="40"/>
      <c r="Y12" s="40"/>
      <c r="Z12" s="40"/>
      <c r="AA12" s="41"/>
      <c r="AB12" s="40"/>
      <c r="AC12" s="40"/>
      <c r="AD12" s="40"/>
      <c r="AE12" s="42"/>
    </row>
    <row r="13" spans="1:31" ht="32.25" hidden="1" x14ac:dyDescent="0.3">
      <c r="A13" s="15"/>
      <c r="B13" s="44" t="s">
        <v>40</v>
      </c>
      <c r="C13" s="48" t="s">
        <v>41</v>
      </c>
      <c r="D13" s="36">
        <v>766.54</v>
      </c>
      <c r="E13" s="36">
        <v>0</v>
      </c>
      <c r="F13" s="37">
        <v>4500.25</v>
      </c>
      <c r="G13" s="37">
        <v>7805.4</v>
      </c>
      <c r="H13" s="37">
        <v>35238.04</v>
      </c>
      <c r="I13" s="37"/>
      <c r="J13" s="45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1"/>
      <c r="V13" s="41"/>
      <c r="W13" s="40"/>
      <c r="X13" s="40"/>
      <c r="Y13" s="40"/>
      <c r="Z13" s="40"/>
      <c r="AA13" s="41"/>
      <c r="AB13" s="40"/>
      <c r="AC13" s="40"/>
      <c r="AD13" s="40"/>
      <c r="AE13" s="42"/>
    </row>
    <row r="14" spans="1:31" ht="32.25" hidden="1" x14ac:dyDescent="0.3">
      <c r="A14" s="15"/>
      <c r="B14" s="44" t="s">
        <v>42</v>
      </c>
      <c r="C14" s="48" t="s">
        <v>43</v>
      </c>
      <c r="D14" s="49"/>
      <c r="E14" s="49"/>
      <c r="F14" s="50"/>
      <c r="G14" s="50"/>
      <c r="H14" s="50">
        <v>15089.69</v>
      </c>
      <c r="I14" s="50"/>
      <c r="J14" s="45"/>
      <c r="K14" s="40"/>
      <c r="L14" s="40"/>
      <c r="M14" s="40"/>
      <c r="N14" s="40"/>
      <c r="O14" s="40"/>
      <c r="P14" s="40"/>
      <c r="Q14" s="40"/>
      <c r="R14" s="40"/>
      <c r="S14" s="41"/>
      <c r="T14" s="41"/>
      <c r="U14" s="41"/>
      <c r="V14" s="41"/>
      <c r="W14" s="40"/>
      <c r="X14" s="40"/>
      <c r="Y14" s="40"/>
      <c r="Z14" s="40"/>
      <c r="AA14" s="41"/>
      <c r="AB14" s="40"/>
      <c r="AC14" s="40"/>
      <c r="AD14" s="40"/>
      <c r="AE14" s="42"/>
    </row>
    <row r="15" spans="1:31" ht="32.25" hidden="1" x14ac:dyDescent="0.3">
      <c r="A15" s="51"/>
      <c r="B15" s="52" t="s">
        <v>44</v>
      </c>
      <c r="C15" s="53" t="s">
        <v>45</v>
      </c>
      <c r="D15" s="54"/>
      <c r="E15" s="54"/>
      <c r="F15" s="55"/>
      <c r="G15" s="55"/>
      <c r="H15" s="55">
        <v>1053.31</v>
      </c>
      <c r="I15" s="55"/>
      <c r="J15" s="45"/>
      <c r="K15" s="40"/>
      <c r="L15" s="40"/>
      <c r="M15" s="40"/>
      <c r="N15" s="40"/>
      <c r="O15" s="40"/>
      <c r="P15" s="40"/>
      <c r="Q15" s="40"/>
      <c r="R15" s="40"/>
      <c r="S15" s="41"/>
      <c r="T15" s="41"/>
      <c r="U15" s="41"/>
      <c r="V15" s="41"/>
      <c r="W15" s="40"/>
      <c r="X15" s="40"/>
      <c r="Y15" s="56"/>
      <c r="Z15" s="40"/>
      <c r="AA15" s="41"/>
      <c r="AB15" s="56"/>
      <c r="AC15" s="56"/>
      <c r="AD15" s="40"/>
      <c r="AE15" s="42"/>
    </row>
    <row r="16" spans="1:31" s="57" customFormat="1" ht="48.75" hidden="1" x14ac:dyDescent="0.35">
      <c r="B16" s="58" t="s">
        <v>44</v>
      </c>
      <c r="C16" s="59" t="s">
        <v>45</v>
      </c>
      <c r="D16" s="60"/>
      <c r="E16" s="60"/>
      <c r="F16" s="61"/>
      <c r="G16" s="61"/>
      <c r="H16" s="61">
        <v>51381.04</v>
      </c>
      <c r="I16" s="61"/>
      <c r="J16" s="62"/>
      <c r="K16" s="63"/>
      <c r="L16" s="40"/>
      <c r="M16" s="40"/>
      <c r="N16" s="63"/>
      <c r="O16" s="40"/>
      <c r="P16" s="40"/>
      <c r="Q16" s="40"/>
      <c r="R16" s="40"/>
      <c r="S16" s="41"/>
      <c r="T16" s="41"/>
      <c r="U16" s="41"/>
      <c r="V16" s="41"/>
      <c r="W16" s="40"/>
      <c r="X16" s="40"/>
      <c r="Y16" s="63"/>
      <c r="Z16" s="40"/>
      <c r="AA16" s="41"/>
      <c r="AB16" s="63"/>
      <c r="AC16" s="63"/>
      <c r="AD16" s="40"/>
      <c r="AE16" s="64"/>
    </row>
    <row r="17" spans="1:31" ht="31.5" hidden="1" x14ac:dyDescent="0.3">
      <c r="A17" s="65"/>
      <c r="B17" s="66" t="s">
        <v>46</v>
      </c>
      <c r="C17" s="67"/>
      <c r="D17" s="68"/>
      <c r="E17" s="68"/>
      <c r="F17" s="69"/>
      <c r="G17" s="69"/>
      <c r="H17" s="69">
        <v>1258.77</v>
      </c>
      <c r="I17" s="69"/>
      <c r="J17" s="45"/>
      <c r="K17" s="40"/>
      <c r="L17" s="40"/>
      <c r="M17" s="40"/>
      <c r="N17" s="40"/>
      <c r="O17" s="40"/>
      <c r="P17" s="40"/>
      <c r="Q17" s="40"/>
      <c r="R17" s="40"/>
      <c r="S17" s="41"/>
      <c r="T17" s="41"/>
      <c r="U17" s="41"/>
      <c r="V17" s="41"/>
      <c r="W17" s="40"/>
      <c r="X17" s="40"/>
      <c r="Y17" s="70"/>
      <c r="Z17" s="40"/>
      <c r="AA17" s="41"/>
      <c r="AB17" s="70"/>
      <c r="AC17" s="70"/>
      <c r="AD17" s="40"/>
      <c r="AE17" s="42"/>
    </row>
    <row r="18" spans="1:31" ht="47.25" hidden="1" x14ac:dyDescent="0.3">
      <c r="A18" s="65"/>
      <c r="B18" s="66" t="s">
        <v>47</v>
      </c>
      <c r="C18" s="67"/>
      <c r="D18" s="68"/>
      <c r="E18" s="68"/>
      <c r="F18" s="69"/>
      <c r="G18" s="69"/>
      <c r="H18" s="69">
        <v>22.54</v>
      </c>
      <c r="I18" s="69"/>
      <c r="J18" s="45"/>
      <c r="K18" s="40"/>
      <c r="L18" s="40"/>
      <c r="M18" s="40"/>
      <c r="N18" s="40"/>
      <c r="O18" s="40"/>
      <c r="P18" s="40"/>
      <c r="Q18" s="40"/>
      <c r="R18" s="40"/>
      <c r="S18" s="41"/>
      <c r="T18" s="41"/>
      <c r="U18" s="41"/>
      <c r="V18" s="41"/>
      <c r="W18" s="40"/>
      <c r="X18" s="40"/>
      <c r="Y18" s="70"/>
      <c r="Z18" s="40"/>
      <c r="AA18" s="41"/>
      <c r="AB18" s="70"/>
      <c r="AC18" s="70"/>
      <c r="AD18" s="40"/>
      <c r="AE18" s="42"/>
    </row>
    <row r="19" spans="1:31" ht="47.25" hidden="1" x14ac:dyDescent="0.3">
      <c r="A19" s="65"/>
      <c r="B19" s="71" t="s">
        <v>48</v>
      </c>
      <c r="C19" s="72"/>
      <c r="D19" s="73"/>
      <c r="E19" s="73"/>
      <c r="F19" s="74"/>
      <c r="G19" s="74"/>
      <c r="H19" s="74">
        <v>10790</v>
      </c>
      <c r="I19" s="74"/>
      <c r="J19" s="75"/>
      <c r="K19" s="70"/>
      <c r="L19" s="70"/>
      <c r="M19" s="70"/>
      <c r="N19" s="70"/>
      <c r="O19" s="70"/>
      <c r="P19" s="70"/>
      <c r="Q19" s="70"/>
      <c r="R19" s="70"/>
      <c r="S19" s="76"/>
      <c r="T19" s="76"/>
      <c r="U19" s="76"/>
      <c r="V19" s="76"/>
      <c r="W19" s="45"/>
      <c r="X19" s="70"/>
      <c r="Y19" s="70"/>
      <c r="Z19" s="70"/>
      <c r="AA19" s="76"/>
      <c r="AB19" s="70"/>
      <c r="AC19" s="70"/>
      <c r="AD19" s="40"/>
      <c r="AE19" s="42"/>
    </row>
    <row r="20" spans="1:31" hidden="1" x14ac:dyDescent="0.3">
      <c r="A20" s="65"/>
      <c r="B20" s="77" t="s">
        <v>49</v>
      </c>
      <c r="C20" s="78"/>
      <c r="D20" s="79"/>
      <c r="E20" s="79"/>
      <c r="F20" s="80"/>
      <c r="G20" s="80"/>
      <c r="H20" s="80"/>
      <c r="I20" s="80">
        <v>48156.69</v>
      </c>
      <c r="J20" s="45">
        <f>SUM(K20:AD20)</f>
        <v>49158.198799999998</v>
      </c>
      <c r="K20" s="70">
        <v>1559.78</v>
      </c>
      <c r="L20" s="70">
        <v>14351.02</v>
      </c>
      <c r="M20" s="70">
        <f>1339.15+19589.52-1619.86</f>
        <v>19308.810000000001</v>
      </c>
      <c r="N20" s="70">
        <f>125.79+632.07+117.98</f>
        <v>875.84</v>
      </c>
      <c r="O20" s="70">
        <f>937.76</f>
        <v>937.76</v>
      </c>
      <c r="P20" s="70">
        <v>2275.6999999999998</v>
      </c>
      <c r="Q20" s="70">
        <f>239.39+95.9</f>
        <v>335.28999999999996</v>
      </c>
      <c r="R20" s="70">
        <f>1344.41+760.41</f>
        <v>2104.8200000000002</v>
      </c>
      <c r="S20" s="76">
        <v>227.4</v>
      </c>
      <c r="T20" s="76">
        <f>1103.8*1.302</f>
        <v>1437.1476</v>
      </c>
      <c r="U20" s="76">
        <f>635.6*1.302</f>
        <v>827.55120000000011</v>
      </c>
      <c r="V20" s="76"/>
      <c r="W20" s="45">
        <f>117.99+63.77</f>
        <v>181.76</v>
      </c>
      <c r="X20" s="70">
        <v>2902.98</v>
      </c>
      <c r="Y20" s="70"/>
      <c r="Z20" s="70">
        <f>381.38+26</f>
        <v>407.38</v>
      </c>
      <c r="AA20" s="76"/>
      <c r="AB20" s="70"/>
      <c r="AC20" s="70"/>
      <c r="AD20" s="81">
        <v>1424.96</v>
      </c>
      <c r="AE20" s="42"/>
    </row>
    <row r="21" spans="1:31" hidden="1" x14ac:dyDescent="0.3">
      <c r="A21" s="65"/>
      <c r="B21" s="77" t="s">
        <v>50</v>
      </c>
      <c r="C21" s="78"/>
      <c r="D21" s="79"/>
      <c r="E21" s="79"/>
      <c r="F21" s="80"/>
      <c r="G21" s="80"/>
      <c r="H21" s="80"/>
      <c r="I21" s="80">
        <v>141894.06</v>
      </c>
      <c r="J21" s="45">
        <f>SUM(K21:AD21)</f>
        <v>148156.88959999997</v>
      </c>
      <c r="K21" s="70">
        <f>3309.59+1308.72</f>
        <v>4618.3100000000004</v>
      </c>
      <c r="L21" s="70">
        <v>16155.58</v>
      </c>
      <c r="M21" s="70">
        <f>43257.83-17580.2+1619.86</f>
        <v>27297.49</v>
      </c>
      <c r="N21" s="70">
        <v>2583.7800000000002</v>
      </c>
      <c r="O21" s="70">
        <v>4337.7</v>
      </c>
      <c r="P21" s="70">
        <v>14971.31</v>
      </c>
      <c r="Q21" s="70">
        <f>2976.51+1070.64+501.36</f>
        <v>4548.51</v>
      </c>
      <c r="R21" s="70">
        <f>14769.35+2451.14+881.44</f>
        <v>18101.93</v>
      </c>
      <c r="S21" s="76">
        <v>1796.12</v>
      </c>
      <c r="T21" s="76">
        <f>3655.8*1.302</f>
        <v>4759.8516</v>
      </c>
      <c r="U21" s="76">
        <f>2489*1.302-200</f>
        <v>3040.6780000000003</v>
      </c>
      <c r="V21" s="76"/>
      <c r="W21" s="45">
        <f>1343.85+221.69</f>
        <v>1565.54</v>
      </c>
      <c r="X21" s="70">
        <v>3911.42</v>
      </c>
      <c r="Y21" s="70"/>
      <c r="Z21" s="70">
        <f>23326.26-1445.17</f>
        <v>21881.089999999997</v>
      </c>
      <c r="AA21" s="76">
        <v>12370.44</v>
      </c>
      <c r="AB21" s="70"/>
      <c r="AC21" s="70"/>
      <c r="AD21" s="81">
        <f>6217.14</f>
        <v>6217.14</v>
      </c>
      <c r="AE21" s="42"/>
    </row>
    <row r="22" spans="1:31" s="89" customFormat="1" ht="28.5" hidden="1" x14ac:dyDescent="0.3">
      <c r="A22" s="82"/>
      <c r="B22" s="83" t="s">
        <v>51</v>
      </c>
      <c r="C22" s="84"/>
      <c r="D22" s="85"/>
      <c r="E22" s="85"/>
      <c r="F22" s="86"/>
      <c r="G22" s="86"/>
      <c r="H22" s="86"/>
      <c r="I22" s="86"/>
      <c r="J22" s="45"/>
      <c r="K22" s="45"/>
      <c r="L22" s="75">
        <f>11060.595+2934.075+9686.475+3267.159</f>
        <v>26948.303999999996</v>
      </c>
      <c r="M22" s="75">
        <f>22833.507+38425.779+792.137+983.537</f>
        <v>63034.960000000006</v>
      </c>
      <c r="N22" s="45"/>
      <c r="O22" s="45"/>
      <c r="P22" s="45"/>
      <c r="Q22" s="45"/>
      <c r="R22" s="45"/>
      <c r="S22" s="45"/>
      <c r="T22" s="45"/>
      <c r="U22" s="87"/>
      <c r="V22" s="87"/>
      <c r="W22" s="45"/>
      <c r="X22" s="45"/>
      <c r="Y22" s="45"/>
      <c r="Z22" s="45"/>
      <c r="AA22" s="45"/>
      <c r="AB22" s="45"/>
      <c r="AC22" s="45"/>
      <c r="AD22" s="75"/>
      <c r="AE22" s="88"/>
    </row>
    <row r="23" spans="1:31" s="89" customFormat="1" hidden="1" x14ac:dyDescent="0.3">
      <c r="A23" s="82"/>
      <c r="B23" s="83" t="s">
        <v>52</v>
      </c>
      <c r="C23" s="84"/>
      <c r="D23" s="85"/>
      <c r="E23" s="85"/>
      <c r="F23" s="86"/>
      <c r="G23" s="86"/>
      <c r="H23" s="86"/>
      <c r="I23" s="80"/>
      <c r="J23" s="45">
        <f t="shared" ref="J23:J30" si="1">SUM(K23:AD23)</f>
        <v>207634.152</v>
      </c>
      <c r="K23" s="45">
        <f>3022.1+914.7+1730.2+522.5</f>
        <v>6189.5</v>
      </c>
      <c r="L23" s="45">
        <f>11060.6+2934.1+9686.5+3208.24</f>
        <v>26889.440000000002</v>
      </c>
      <c r="M23" s="45">
        <f>23625.64+38928.2</f>
        <v>62553.84</v>
      </c>
      <c r="N23" s="45">
        <f>2400.7+725+582.1+175.8</f>
        <v>3883.6</v>
      </c>
      <c r="O23" s="45">
        <f>2931.486+390.8+2908.8</f>
        <v>6231.0860000000002</v>
      </c>
      <c r="P23" s="45">
        <f>7508.23+2275.7+6318</f>
        <v>16101.93</v>
      </c>
      <c r="Q23" s="45">
        <v>4694.7</v>
      </c>
      <c r="R23" s="45">
        <v>19026.8</v>
      </c>
      <c r="S23" s="45">
        <v>1780.75</v>
      </c>
      <c r="T23" s="75">
        <f>6035.9-361</f>
        <v>5674.9</v>
      </c>
      <c r="U23" s="90">
        <f>3494.3+419.4</f>
        <v>3913.7000000000003</v>
      </c>
      <c r="V23" s="90"/>
      <c r="W23" s="45">
        <v>1747.29</v>
      </c>
      <c r="X23" s="75">
        <v>6673.8</v>
      </c>
      <c r="Y23" s="45"/>
      <c r="Z23" s="45">
        <f>535.041+381.38+21671.25</f>
        <v>22587.670999999998</v>
      </c>
      <c r="AA23" s="45">
        <f>11772.37+298.905</f>
        <v>12071.275000000001</v>
      </c>
      <c r="AB23" s="45"/>
      <c r="AC23" s="45"/>
      <c r="AD23" s="75">
        <f>6293.99+1125.48+194.4</f>
        <v>7613.869999999999</v>
      </c>
      <c r="AE23" s="88"/>
    </row>
    <row r="24" spans="1:31" s="97" customFormat="1" ht="28.5" hidden="1" x14ac:dyDescent="0.3">
      <c r="A24" s="91" t="s">
        <v>53</v>
      </c>
      <c r="B24" s="92" t="s">
        <v>54</v>
      </c>
      <c r="C24" s="93"/>
      <c r="D24" s="94"/>
      <c r="E24" s="94"/>
      <c r="F24" s="95"/>
      <c r="G24" s="95"/>
      <c r="H24" s="95">
        <v>185916.46</v>
      </c>
      <c r="I24" s="86">
        <v>207630.95</v>
      </c>
      <c r="J24" s="75">
        <f t="shared" si="1"/>
        <v>214895.30356000003</v>
      </c>
      <c r="K24" s="75">
        <f>6178.09</f>
        <v>6178.09</v>
      </c>
      <c r="L24" s="75">
        <v>30506.6</v>
      </c>
      <c r="M24" s="75">
        <v>64186.5</v>
      </c>
      <c r="N24" s="75">
        <v>3459.62</v>
      </c>
      <c r="O24" s="75">
        <f>3620.4+2206.8-2206.8+1655.06</f>
        <v>5275.4600000000009</v>
      </c>
      <c r="P24" s="75">
        <f>19078.94-7327.7+5495.77</f>
        <v>17247.009999999998</v>
      </c>
      <c r="Q24" s="75">
        <v>4883.82</v>
      </c>
      <c r="R24" s="75">
        <f>SUM(1600.54+958.41+421+11190.51+843.96+505.36)*1.302</f>
        <v>20206.753560000001</v>
      </c>
      <c r="S24" s="75">
        <f>1796.12+227.4</f>
        <v>2023.52</v>
      </c>
      <c r="T24" s="75">
        <v>6197</v>
      </c>
      <c r="U24" s="75">
        <f>4068.23-200</f>
        <v>3868.23</v>
      </c>
      <c r="V24" s="75"/>
      <c r="W24" s="75">
        <f>1461.83+285.46</f>
        <v>1747.29</v>
      </c>
      <c r="X24" s="75">
        <v>6814.4</v>
      </c>
      <c r="Y24" s="75">
        <v>0</v>
      </c>
      <c r="Z24" s="75">
        <f>23733.64-1445.17</f>
        <v>22288.47</v>
      </c>
      <c r="AA24" s="75">
        <v>12370.44</v>
      </c>
      <c r="AB24" s="75"/>
      <c r="AC24" s="75"/>
      <c r="AD24" s="75">
        <f>7642.1</f>
        <v>7642.1</v>
      </c>
      <c r="AE24" s="96"/>
    </row>
    <row r="25" spans="1:31" s="102" customFormat="1" hidden="1" x14ac:dyDescent="0.3">
      <c r="A25" s="98"/>
      <c r="B25" s="99" t="s">
        <v>55</v>
      </c>
      <c r="C25" s="78"/>
      <c r="D25" s="79"/>
      <c r="E25" s="79"/>
      <c r="F25" s="80"/>
      <c r="G25" s="80"/>
      <c r="H25" s="80"/>
      <c r="I25" s="80">
        <v>-17580.2</v>
      </c>
      <c r="J25" s="75">
        <f t="shared" si="1"/>
        <v>0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100"/>
      <c r="V25" s="100"/>
      <c r="W25" s="81"/>
      <c r="X25" s="81"/>
      <c r="Y25" s="81"/>
      <c r="Z25" s="81"/>
      <c r="AA25" s="81"/>
      <c r="AB25" s="81"/>
      <c r="AC25" s="81"/>
      <c r="AD25" s="81"/>
      <c r="AE25" s="101"/>
    </row>
    <row r="26" spans="1:31" s="89" customFormat="1" ht="39" customHeight="1" x14ac:dyDescent="0.3">
      <c r="A26" s="82">
        <v>1</v>
      </c>
      <c r="B26" s="83" t="s">
        <v>56</v>
      </c>
      <c r="C26" s="84"/>
      <c r="D26" s="85"/>
      <c r="E26" s="85"/>
      <c r="F26" s="86"/>
      <c r="G26" s="86"/>
      <c r="H26" s="86">
        <v>185916.46</v>
      </c>
      <c r="I26" s="86">
        <v>207630.95</v>
      </c>
      <c r="J26" s="103">
        <f t="shared" si="1"/>
        <v>194028.50905000002</v>
      </c>
      <c r="K26" s="104">
        <f>(5590.4*1.302)-1780</f>
        <v>5498.7007999999996</v>
      </c>
      <c r="L26" s="104">
        <f>(22133.1+443.7)*1.302-10000</f>
        <v>19394.993600000002</v>
      </c>
      <c r="M26" s="104">
        <f>(51966.4+1041.8)*1.302-23084</f>
        <v>45932.676400000011</v>
      </c>
      <c r="N26" s="104">
        <f>(3388*1.302)-510</f>
        <v>3901.1760000000004</v>
      </c>
      <c r="O26" s="104">
        <f>3280.138*1.302</f>
        <v>4270.7396760000001</v>
      </c>
      <c r="P26" s="104">
        <f>(13680.3+69.9)*1.302+529-2047</f>
        <v>16384.760399999999</v>
      </c>
      <c r="Q26" s="104">
        <f>3884.3*1.302</f>
        <v>5057.3586000000005</v>
      </c>
      <c r="R26" s="104">
        <f>(55.937+1520.8+910.3+2959.3+160.9+2276.2+562.2+775+448.8+954.8+663.8+1667.5+423.6+411.3+819.4+81.8+176+85+58.5+307+27.4+61.8+64.2+16.7)*1.302-848</f>
        <v>19317.684573999995</v>
      </c>
      <c r="S26" s="104">
        <f>(1658.7+23+5.7)*1.302-295</f>
        <v>1901.9948000000004</v>
      </c>
      <c r="T26" s="104">
        <f>(2205.5+3054.8+91.1+19.8)*1.302-1535</f>
        <v>5458.3024000000014</v>
      </c>
      <c r="U26" s="104">
        <f>(2507.1+834.5+45.9+11)*1.302-880</f>
        <v>3544.8469999999998</v>
      </c>
      <c r="V26" s="104">
        <f>(3946.7+9.2)*1.302-158</f>
        <v>4992.5817999999999</v>
      </c>
      <c r="W26" s="104">
        <f>(1419.5+4.1+9.2)*1.302-131</f>
        <v>1734.5056</v>
      </c>
      <c r="X26" s="104">
        <f>(5696.1*1.302)-2179</f>
        <v>5237.3222000000005</v>
      </c>
      <c r="Y26" s="104"/>
      <c r="Z26" s="104">
        <f>(420.6+19674+588.3)*1.302+344.72-239</f>
        <v>27034.855799999998</v>
      </c>
      <c r="AA26" s="104">
        <f>(5185.7+5694)*1.302+318.55</f>
        <v>14483.919400000001</v>
      </c>
      <c r="AB26" s="104"/>
      <c r="AC26" s="104"/>
      <c r="AD26" s="105">
        <v>9882.09</v>
      </c>
      <c r="AE26" s="88"/>
    </row>
    <row r="27" spans="1:31" s="102" customFormat="1" ht="31.5" hidden="1" x14ac:dyDescent="0.3">
      <c r="A27" s="98">
        <v>2</v>
      </c>
      <c r="B27" s="99" t="s">
        <v>57</v>
      </c>
      <c r="C27" s="78"/>
      <c r="D27" s="79"/>
      <c r="E27" s="79"/>
      <c r="F27" s="80"/>
      <c r="G27" s="80"/>
      <c r="H27" s="80"/>
      <c r="I27" s="80">
        <f>J26-I26</f>
        <v>-13602.440949999989</v>
      </c>
      <c r="J27" s="103">
        <f t="shared" si="1"/>
        <v>54159.850000000006</v>
      </c>
      <c r="K27" s="104">
        <f>1709.3*1.302</f>
        <v>2225.5086000000001</v>
      </c>
      <c r="L27" s="104">
        <f>(8808.4+443.7)*1.302</f>
        <v>12046.234200000001</v>
      </c>
      <c r="M27" s="104">
        <f>(21120.5+1041.8)*1.302</f>
        <v>28855.314600000002</v>
      </c>
      <c r="N27" s="104">
        <f>489.3*1.302</f>
        <v>637.06860000000006</v>
      </c>
      <c r="O27" s="104"/>
      <c r="P27" s="104">
        <f>(1895.9+69.9)*1.302</f>
        <v>2559.4716000000003</v>
      </c>
      <c r="Q27" s="104"/>
      <c r="R27" s="104">
        <f>(81.8+176+85+58.5+307+27.4+61.8+16.7)*1.302</f>
        <v>1060.0883999999999</v>
      </c>
      <c r="S27" s="104">
        <f>(278+5.7)*1.302</f>
        <v>369.37740000000002</v>
      </c>
      <c r="T27" s="104">
        <f>(306.6+1148.2+19.8)*1.302</f>
        <v>1919.9292000000003</v>
      </c>
      <c r="U27" s="106">
        <f>(834.5+11)*1.302</f>
        <v>1100.8410000000001</v>
      </c>
      <c r="V27" s="106">
        <f>151.9*1.302</f>
        <v>197.77380000000002</v>
      </c>
      <c r="W27" s="104">
        <f>(116.9+9.2)*1.302</f>
        <v>164.18220000000002</v>
      </c>
      <c r="X27" s="104">
        <f>2092.9*1.302</f>
        <v>2724.9558000000002</v>
      </c>
      <c r="Y27" s="104"/>
      <c r="Z27" s="104">
        <f>212.3*1.302+22.69</f>
        <v>299.1046</v>
      </c>
      <c r="AA27" s="104"/>
      <c r="AB27" s="104"/>
      <c r="AC27" s="104"/>
      <c r="AD27" s="105" t="s">
        <v>58</v>
      </c>
      <c r="AE27" s="101"/>
    </row>
    <row r="28" spans="1:31" s="102" customFormat="1" ht="20.25" hidden="1" x14ac:dyDescent="0.3">
      <c r="A28" s="98"/>
      <c r="B28" s="99" t="s">
        <v>59</v>
      </c>
      <c r="C28" s="78"/>
      <c r="D28" s="79"/>
      <c r="E28" s="79"/>
      <c r="F28" s="80"/>
      <c r="G28" s="80"/>
      <c r="H28" s="80"/>
      <c r="I28" s="80"/>
      <c r="J28" s="103">
        <f>SUM(K28:AD28)</f>
        <v>0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5"/>
      <c r="AE28" s="101"/>
    </row>
    <row r="29" spans="1:31" s="102" customFormat="1" ht="47.25" hidden="1" x14ac:dyDescent="0.3">
      <c r="A29" s="98">
        <v>3</v>
      </c>
      <c r="B29" s="99" t="s">
        <v>60</v>
      </c>
      <c r="C29" s="78"/>
      <c r="D29" s="79"/>
      <c r="E29" s="79"/>
      <c r="F29" s="80"/>
      <c r="G29" s="80"/>
      <c r="H29" s="80"/>
      <c r="I29" s="80"/>
      <c r="J29" s="103">
        <f t="shared" si="1"/>
        <v>33948.341400000005</v>
      </c>
      <c r="K29" s="104"/>
      <c r="L29" s="104"/>
      <c r="M29" s="104"/>
      <c r="N29" s="104"/>
      <c r="O29" s="104">
        <f>1027*1.302</f>
        <v>1337.154</v>
      </c>
      <c r="P29" s="104">
        <f>2438.2*1.302+529</f>
        <v>3703.5364</v>
      </c>
      <c r="Q29" s="104"/>
      <c r="R29" s="104"/>
      <c r="S29" s="104"/>
      <c r="T29" s="104"/>
      <c r="U29" s="106"/>
      <c r="V29" s="106"/>
      <c r="W29" s="104"/>
      <c r="X29" s="104"/>
      <c r="Y29" s="104"/>
      <c r="Z29" s="104">
        <f>13199*1.302+322.03</f>
        <v>17507.128000000001</v>
      </c>
      <c r="AA29" s="104">
        <f>5694*1.302+318.55</f>
        <v>7732.1380000000008</v>
      </c>
      <c r="AB29" s="104"/>
      <c r="AC29" s="104"/>
      <c r="AD29" s="105">
        <f>2817.5*1.302</f>
        <v>3668.3850000000002</v>
      </c>
      <c r="AE29" s="101"/>
    </row>
    <row r="30" spans="1:31" ht="20.25" x14ac:dyDescent="0.3">
      <c r="A30" s="15">
        <v>4</v>
      </c>
      <c r="B30" s="35" t="s">
        <v>61</v>
      </c>
      <c r="C30" s="36"/>
      <c r="D30" s="36">
        <v>8756.7800000000007</v>
      </c>
      <c r="E30" s="36">
        <v>9819</v>
      </c>
      <c r="F30" s="37">
        <v>10192</v>
      </c>
      <c r="G30" s="37">
        <v>10779.5</v>
      </c>
      <c r="H30" s="37">
        <v>12918.65</v>
      </c>
      <c r="I30" s="37">
        <v>14371.45</v>
      </c>
      <c r="J30" s="103">
        <f t="shared" si="1"/>
        <v>15400.699999999999</v>
      </c>
      <c r="K30" s="104"/>
      <c r="L30" s="104">
        <v>1886</v>
      </c>
      <c r="M30" s="104">
        <f>12027.3-500</f>
        <v>11527.3</v>
      </c>
      <c r="N30" s="104"/>
      <c r="O30" s="104"/>
      <c r="P30" s="104">
        <v>86.7</v>
      </c>
      <c r="Q30" s="104"/>
      <c r="R30" s="104">
        <v>1455</v>
      </c>
      <c r="S30" s="104"/>
      <c r="T30" s="104"/>
      <c r="U30" s="106"/>
      <c r="V30" s="106"/>
      <c r="W30" s="104"/>
      <c r="X30" s="104">
        <v>40</v>
      </c>
      <c r="Y30" s="104"/>
      <c r="Z30" s="104">
        <f>102.3-50</f>
        <v>52.3</v>
      </c>
      <c r="AA30" s="104">
        <v>122.4</v>
      </c>
      <c r="AB30" s="104"/>
      <c r="AC30" s="104"/>
      <c r="AD30" s="105">
        <f>291-60</f>
        <v>231</v>
      </c>
      <c r="AE30" s="42"/>
    </row>
    <row r="31" spans="1:31" ht="31.5" x14ac:dyDescent="0.3">
      <c r="A31" s="15">
        <v>5</v>
      </c>
      <c r="B31" s="35" t="s">
        <v>62</v>
      </c>
      <c r="C31" s="36"/>
      <c r="D31" s="36"/>
      <c r="E31" s="36"/>
      <c r="F31" s="37"/>
      <c r="G31" s="37"/>
      <c r="H31" s="37"/>
      <c r="I31" s="37"/>
      <c r="J31" s="103">
        <f t="shared" ref="J31:J79" si="2">SUM(K31:AD31)</f>
        <v>7179.31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6"/>
      <c r="V31" s="106">
        <f>8400-1393.7+173.01</f>
        <v>7179.31</v>
      </c>
      <c r="W31" s="104"/>
      <c r="X31" s="104"/>
      <c r="Y31" s="104"/>
      <c r="Z31" s="104"/>
      <c r="AA31" s="104"/>
      <c r="AB31" s="104"/>
      <c r="AC31" s="104"/>
      <c r="AD31" s="105"/>
      <c r="AE31" s="42"/>
    </row>
    <row r="32" spans="1:31" ht="30.75" customHeight="1" x14ac:dyDescent="0.3">
      <c r="A32" s="15">
        <v>6</v>
      </c>
      <c r="B32" s="35" t="s">
        <v>63</v>
      </c>
      <c r="C32" s="36"/>
      <c r="D32" s="36"/>
      <c r="E32" s="36"/>
      <c r="F32" s="37">
        <v>3000</v>
      </c>
      <c r="G32" s="37">
        <v>2850.8</v>
      </c>
      <c r="H32" s="37">
        <v>5391.6</v>
      </c>
      <c r="I32" s="37">
        <v>500</v>
      </c>
      <c r="J32" s="103">
        <f t="shared" si="2"/>
        <v>500</v>
      </c>
      <c r="K32" s="104"/>
      <c r="L32" s="104"/>
      <c r="M32" s="104"/>
      <c r="N32" s="104"/>
      <c r="O32" s="104"/>
      <c r="P32" s="104"/>
      <c r="Q32" s="104"/>
      <c r="R32" s="104">
        <v>500</v>
      </c>
      <c r="S32" s="104"/>
      <c r="T32" s="104"/>
      <c r="U32" s="106"/>
      <c r="V32" s="106"/>
      <c r="W32" s="104"/>
      <c r="X32" s="104"/>
      <c r="Y32" s="104"/>
      <c r="Z32" s="104"/>
      <c r="AA32" s="104"/>
      <c r="AB32" s="104"/>
      <c r="AC32" s="104"/>
      <c r="AD32" s="105"/>
      <c r="AE32" s="42"/>
    </row>
    <row r="33" spans="1:31" ht="31.5" x14ac:dyDescent="0.3">
      <c r="A33" s="15">
        <v>7</v>
      </c>
      <c r="B33" s="35" t="s">
        <v>64</v>
      </c>
      <c r="C33" s="36"/>
      <c r="D33" s="36">
        <v>8831.3799999999992</v>
      </c>
      <c r="E33" s="36">
        <v>10555.21</v>
      </c>
      <c r="F33" s="37">
        <v>8691.1</v>
      </c>
      <c r="G33" s="37">
        <v>9561.2000000000007</v>
      </c>
      <c r="H33" s="37">
        <v>9174.8700000000008</v>
      </c>
      <c r="I33" s="37">
        <v>8983.49</v>
      </c>
      <c r="J33" s="103">
        <f t="shared" si="2"/>
        <v>10028.799999999999</v>
      </c>
      <c r="K33" s="104"/>
      <c r="L33" s="104">
        <v>1214.3</v>
      </c>
      <c r="M33" s="104">
        <v>4121.3</v>
      </c>
      <c r="N33" s="104"/>
      <c r="O33" s="104"/>
      <c r="P33" s="104">
        <v>700</v>
      </c>
      <c r="Q33" s="104"/>
      <c r="R33" s="104">
        <f>2378.4-818</f>
        <v>1560.4</v>
      </c>
      <c r="S33" s="104"/>
      <c r="T33" s="104"/>
      <c r="U33" s="106"/>
      <c r="V33" s="106"/>
      <c r="W33" s="104"/>
      <c r="X33" s="104">
        <v>212.3</v>
      </c>
      <c r="Y33" s="104"/>
      <c r="Z33" s="104">
        <v>575.70000000000005</v>
      </c>
      <c r="AA33" s="104">
        <f>991.4-300</f>
        <v>691.4</v>
      </c>
      <c r="AB33" s="104"/>
      <c r="AC33" s="104"/>
      <c r="AD33" s="105">
        <v>953.4</v>
      </c>
      <c r="AE33" s="42"/>
    </row>
    <row r="34" spans="1:31" ht="20.25" x14ac:dyDescent="0.3">
      <c r="A34" s="15">
        <v>8</v>
      </c>
      <c r="B34" s="35" t="s">
        <v>65</v>
      </c>
      <c r="C34" s="36"/>
      <c r="D34" s="36">
        <v>656.7</v>
      </c>
      <c r="E34" s="36">
        <v>712.98</v>
      </c>
      <c r="F34" s="37">
        <v>1094.8</v>
      </c>
      <c r="G34" s="37">
        <v>1462.49</v>
      </c>
      <c r="H34" s="37">
        <v>1361.06</v>
      </c>
      <c r="I34" s="37">
        <v>1311.99</v>
      </c>
      <c r="J34" s="103">
        <f t="shared" si="2"/>
        <v>1532.5</v>
      </c>
      <c r="K34" s="104"/>
      <c r="L34" s="104">
        <v>290.2</v>
      </c>
      <c r="M34" s="104">
        <v>1085.9000000000001</v>
      </c>
      <c r="N34" s="104"/>
      <c r="O34" s="104"/>
      <c r="P34" s="104">
        <v>10.5</v>
      </c>
      <c r="Q34" s="104"/>
      <c r="R34" s="104">
        <v>32</v>
      </c>
      <c r="S34" s="104"/>
      <c r="T34" s="104"/>
      <c r="U34" s="106"/>
      <c r="V34" s="106"/>
      <c r="W34" s="104"/>
      <c r="X34" s="104">
        <v>10.1</v>
      </c>
      <c r="Y34" s="104"/>
      <c r="Z34" s="104">
        <v>45</v>
      </c>
      <c r="AA34" s="104">
        <v>10.5</v>
      </c>
      <c r="AB34" s="104"/>
      <c r="AC34" s="104"/>
      <c r="AD34" s="105">
        <v>48.3</v>
      </c>
      <c r="AE34" s="42"/>
    </row>
    <row r="35" spans="1:31" ht="20.25" x14ac:dyDescent="0.3">
      <c r="A35" s="15">
        <v>9</v>
      </c>
      <c r="B35" s="35" t="s">
        <v>66</v>
      </c>
      <c r="C35" s="36"/>
      <c r="D35" s="36">
        <v>318</v>
      </c>
      <c r="E35" s="36">
        <v>99</v>
      </c>
      <c r="F35" s="37">
        <v>123.5</v>
      </c>
      <c r="G35" s="37">
        <v>279.5</v>
      </c>
      <c r="H35" s="37">
        <v>132</v>
      </c>
      <c r="I35" s="37">
        <v>569.1</v>
      </c>
      <c r="J35" s="103">
        <f t="shared" si="2"/>
        <v>260.55</v>
      </c>
      <c r="K35" s="104"/>
      <c r="L35" s="104">
        <f>65.1/2</f>
        <v>32.549999999999997</v>
      </c>
      <c r="M35" s="104">
        <f>436/2</f>
        <v>218</v>
      </c>
      <c r="N35" s="104"/>
      <c r="O35" s="104"/>
      <c r="P35" s="104">
        <f>20/2</f>
        <v>10</v>
      </c>
      <c r="Q35" s="104"/>
      <c r="R35" s="104"/>
      <c r="S35" s="104"/>
      <c r="T35" s="106"/>
      <c r="U35" s="106"/>
      <c r="V35" s="106"/>
      <c r="W35" s="106"/>
      <c r="X35" s="104"/>
      <c r="Y35" s="104"/>
      <c r="Z35" s="104"/>
      <c r="AA35" s="104"/>
      <c r="AB35" s="106"/>
      <c r="AC35" s="106"/>
      <c r="AD35" s="105"/>
      <c r="AE35" s="42"/>
    </row>
    <row r="36" spans="1:31" ht="20.25" x14ac:dyDescent="0.3">
      <c r="A36" s="15">
        <v>10</v>
      </c>
      <c r="B36" s="35" t="s">
        <v>67</v>
      </c>
      <c r="C36" s="36"/>
      <c r="D36" s="36">
        <v>596.48</v>
      </c>
      <c r="E36" s="36">
        <v>500.29</v>
      </c>
      <c r="F36" s="37">
        <v>807.4</v>
      </c>
      <c r="G36" s="37">
        <v>803.08</v>
      </c>
      <c r="H36" s="37">
        <v>1250.29</v>
      </c>
      <c r="I36" s="37">
        <v>1263.33</v>
      </c>
      <c r="J36" s="103">
        <f t="shared" si="2"/>
        <v>1560.1</v>
      </c>
      <c r="K36" s="104"/>
      <c r="L36" s="104">
        <v>475.2</v>
      </c>
      <c r="M36" s="104">
        <v>950.5</v>
      </c>
      <c r="N36" s="104"/>
      <c r="O36" s="104"/>
      <c r="P36" s="104">
        <v>95</v>
      </c>
      <c r="Q36" s="104"/>
      <c r="R36" s="104">
        <v>22</v>
      </c>
      <c r="S36" s="104"/>
      <c r="T36" s="106"/>
      <c r="U36" s="106"/>
      <c r="V36" s="106"/>
      <c r="W36" s="106"/>
      <c r="X36" s="104">
        <v>3</v>
      </c>
      <c r="Y36" s="104"/>
      <c r="Z36" s="104">
        <v>3.6</v>
      </c>
      <c r="AA36" s="104">
        <v>8.8000000000000007</v>
      </c>
      <c r="AB36" s="106"/>
      <c r="AC36" s="106"/>
      <c r="AD36" s="105">
        <v>2</v>
      </c>
      <c r="AE36" s="42"/>
    </row>
    <row r="37" spans="1:31" ht="20.25" x14ac:dyDescent="0.3">
      <c r="A37" s="15">
        <v>11</v>
      </c>
      <c r="B37" s="35" t="s">
        <v>68</v>
      </c>
      <c r="C37" s="36"/>
      <c r="D37" s="36">
        <v>12155.69</v>
      </c>
      <c r="E37" s="36">
        <v>14020.2</v>
      </c>
      <c r="F37" s="37">
        <v>11517</v>
      </c>
      <c r="G37" s="37">
        <v>13207</v>
      </c>
      <c r="H37" s="37">
        <v>14994</v>
      </c>
      <c r="I37" s="37">
        <v>15351</v>
      </c>
      <c r="J37" s="103">
        <f t="shared" si="2"/>
        <v>15716.5</v>
      </c>
      <c r="K37" s="104"/>
      <c r="L37" s="104">
        <v>2116.5</v>
      </c>
      <c r="M37" s="104">
        <f>16371-3000</f>
        <v>13371</v>
      </c>
      <c r="N37" s="104"/>
      <c r="O37" s="104"/>
      <c r="P37" s="104">
        <v>153</v>
      </c>
      <c r="Q37" s="104"/>
      <c r="R37" s="104"/>
      <c r="S37" s="104"/>
      <c r="T37" s="106"/>
      <c r="U37" s="106"/>
      <c r="V37" s="106"/>
      <c r="W37" s="106"/>
      <c r="X37" s="104"/>
      <c r="Y37" s="104">
        <v>58</v>
      </c>
      <c r="Z37" s="104"/>
      <c r="AA37" s="104">
        <v>18</v>
      </c>
      <c r="AB37" s="106"/>
      <c r="AC37" s="106"/>
      <c r="AD37" s="105"/>
      <c r="AE37" s="42"/>
    </row>
    <row r="38" spans="1:31" ht="20.25" x14ac:dyDescent="0.3">
      <c r="A38" s="15">
        <v>12</v>
      </c>
      <c r="B38" s="35" t="s">
        <v>69</v>
      </c>
      <c r="C38" s="36"/>
      <c r="D38" s="36">
        <v>1195.2</v>
      </c>
      <c r="E38" s="36">
        <v>1350</v>
      </c>
      <c r="F38" s="37">
        <v>1530.4</v>
      </c>
      <c r="G38" s="37">
        <v>2574</v>
      </c>
      <c r="H38" s="37">
        <v>2364</v>
      </c>
      <c r="I38" s="37">
        <v>2955</v>
      </c>
      <c r="J38" s="103">
        <f t="shared" si="2"/>
        <v>3215.7</v>
      </c>
      <c r="K38" s="104"/>
      <c r="L38" s="104">
        <v>1286.9000000000001</v>
      </c>
      <c r="M38" s="104">
        <v>1604.8</v>
      </c>
      <c r="N38" s="104"/>
      <c r="O38" s="104"/>
      <c r="P38" s="104">
        <v>136</v>
      </c>
      <c r="Q38" s="104"/>
      <c r="R38" s="104"/>
      <c r="S38" s="104"/>
      <c r="T38" s="106"/>
      <c r="U38" s="106"/>
      <c r="V38" s="106"/>
      <c r="W38" s="106"/>
      <c r="X38" s="104"/>
      <c r="Y38" s="104">
        <v>18</v>
      </c>
      <c r="Z38" s="104"/>
      <c r="AA38" s="104">
        <v>170</v>
      </c>
      <c r="AB38" s="106"/>
      <c r="AC38" s="106"/>
      <c r="AD38" s="105"/>
      <c r="AE38" s="42"/>
    </row>
    <row r="39" spans="1:31" ht="20.25" x14ac:dyDescent="0.3">
      <c r="A39" s="15">
        <v>13</v>
      </c>
      <c r="B39" s="35" t="s">
        <v>70</v>
      </c>
      <c r="C39" s="36"/>
      <c r="D39" s="36">
        <v>5081</v>
      </c>
      <c r="E39" s="36">
        <v>4000</v>
      </c>
      <c r="F39" s="37">
        <v>4000</v>
      </c>
      <c r="G39" s="37">
        <v>2880</v>
      </c>
      <c r="H39" s="37">
        <v>2119.15</v>
      </c>
      <c r="I39" s="37">
        <v>3302</v>
      </c>
      <c r="J39" s="103">
        <f t="shared" si="2"/>
        <v>3940</v>
      </c>
      <c r="K39" s="104"/>
      <c r="L39" s="104">
        <v>210</v>
      </c>
      <c r="M39" s="104">
        <f>5730-2000</f>
        <v>3730</v>
      </c>
      <c r="N39" s="104"/>
      <c r="O39" s="104"/>
      <c r="P39" s="104"/>
      <c r="Q39" s="104"/>
      <c r="R39" s="104"/>
      <c r="S39" s="104"/>
      <c r="T39" s="106"/>
      <c r="U39" s="106"/>
      <c r="V39" s="106"/>
      <c r="W39" s="106"/>
      <c r="X39" s="104"/>
      <c r="Y39" s="104"/>
      <c r="Z39" s="104"/>
      <c r="AA39" s="104"/>
      <c r="AB39" s="106"/>
      <c r="AC39" s="106"/>
      <c r="AD39" s="105"/>
      <c r="AE39" s="42"/>
    </row>
    <row r="40" spans="1:31" ht="20.25" x14ac:dyDescent="0.3">
      <c r="A40" s="15">
        <v>14</v>
      </c>
      <c r="B40" s="35" t="s">
        <v>71</v>
      </c>
      <c r="C40" s="36"/>
      <c r="D40" s="36">
        <v>106</v>
      </c>
      <c r="E40" s="36">
        <v>121</v>
      </c>
      <c r="F40" s="37">
        <v>121</v>
      </c>
      <c r="G40" s="37">
        <v>118</v>
      </c>
      <c r="H40" s="37">
        <v>278</v>
      </c>
      <c r="I40" s="37">
        <v>138</v>
      </c>
      <c r="J40" s="103">
        <f t="shared" si="2"/>
        <v>128</v>
      </c>
      <c r="K40" s="104"/>
      <c r="L40" s="104">
        <v>35</v>
      </c>
      <c r="M40" s="104">
        <v>90</v>
      </c>
      <c r="N40" s="104"/>
      <c r="O40" s="104"/>
      <c r="P40" s="104">
        <v>3</v>
      </c>
      <c r="Q40" s="104"/>
      <c r="R40" s="104"/>
      <c r="S40" s="104"/>
      <c r="T40" s="106"/>
      <c r="U40" s="106"/>
      <c r="V40" s="106"/>
      <c r="W40" s="106"/>
      <c r="X40" s="104"/>
      <c r="Y40" s="104"/>
      <c r="Z40" s="104"/>
      <c r="AA40" s="104"/>
      <c r="AB40" s="106"/>
      <c r="AC40" s="106"/>
      <c r="AD40" s="105"/>
      <c r="AE40" s="42"/>
    </row>
    <row r="41" spans="1:31" ht="47.25" x14ac:dyDescent="0.3">
      <c r="A41" s="15">
        <v>15</v>
      </c>
      <c r="B41" s="35" t="s">
        <v>72</v>
      </c>
      <c r="C41" s="36"/>
      <c r="D41" s="36"/>
      <c r="E41" s="36"/>
      <c r="F41" s="37"/>
      <c r="G41" s="37"/>
      <c r="H41" s="37">
        <v>2398.0100000000002</v>
      </c>
      <c r="I41" s="37"/>
      <c r="J41" s="103">
        <f t="shared" si="2"/>
        <v>667.32900000000006</v>
      </c>
      <c r="K41" s="104"/>
      <c r="L41" s="104"/>
      <c r="M41" s="104">
        <v>512.95000000000005</v>
      </c>
      <c r="N41" s="104"/>
      <c r="O41" s="104"/>
      <c r="P41" s="104"/>
      <c r="Q41" s="104"/>
      <c r="R41" s="104">
        <f>(6.435+100+21.424)</f>
        <v>127.85900000000001</v>
      </c>
      <c r="S41" s="104"/>
      <c r="T41" s="106"/>
      <c r="U41" s="106"/>
      <c r="V41" s="106"/>
      <c r="W41" s="106"/>
      <c r="X41" s="104"/>
      <c r="Y41" s="104"/>
      <c r="Z41" s="104">
        <v>23.28</v>
      </c>
      <c r="AA41" s="104">
        <v>3.24</v>
      </c>
      <c r="AB41" s="106"/>
      <c r="AC41" s="106"/>
      <c r="AD41" s="105"/>
      <c r="AE41" s="42"/>
    </row>
    <row r="42" spans="1:31" ht="31.5" x14ac:dyDescent="0.3">
      <c r="A42" s="15">
        <v>16</v>
      </c>
      <c r="B42" s="35" t="s">
        <v>73</v>
      </c>
      <c r="C42" s="36"/>
      <c r="D42" s="36">
        <v>902.4</v>
      </c>
      <c r="E42" s="36">
        <v>882.13</v>
      </c>
      <c r="F42" s="37">
        <v>700</v>
      </c>
      <c r="G42" s="37">
        <v>700</v>
      </c>
      <c r="H42" s="37">
        <v>3039.96</v>
      </c>
      <c r="I42" s="37">
        <v>1205</v>
      </c>
      <c r="J42" s="103">
        <f t="shared" si="2"/>
        <v>1350.8</v>
      </c>
      <c r="K42" s="104"/>
      <c r="L42" s="104"/>
      <c r="M42" s="104">
        <f>2701.6/2</f>
        <v>1350.8</v>
      </c>
      <c r="N42" s="104"/>
      <c r="O42" s="104"/>
      <c r="P42" s="104"/>
      <c r="Q42" s="104"/>
      <c r="R42" s="104"/>
      <c r="S42" s="104"/>
      <c r="T42" s="106"/>
      <c r="U42" s="106"/>
      <c r="V42" s="106"/>
      <c r="W42" s="106"/>
      <c r="X42" s="104"/>
      <c r="Y42" s="104"/>
      <c r="Z42" s="104"/>
      <c r="AA42" s="104"/>
      <c r="AB42" s="106"/>
      <c r="AC42" s="106"/>
      <c r="AD42" s="105"/>
      <c r="AE42" s="42"/>
    </row>
    <row r="43" spans="1:31" ht="21.75" customHeight="1" x14ac:dyDescent="0.3">
      <c r="A43" s="15">
        <v>17</v>
      </c>
      <c r="B43" s="35" t="s">
        <v>74</v>
      </c>
      <c r="C43" s="36"/>
      <c r="D43" s="36"/>
      <c r="E43" s="36"/>
      <c r="F43" s="37"/>
      <c r="G43" s="37"/>
      <c r="H43" s="37">
        <v>2800</v>
      </c>
      <c r="I43" s="37">
        <v>1450</v>
      </c>
      <c r="J43" s="103">
        <f t="shared" si="2"/>
        <v>1200</v>
      </c>
      <c r="K43" s="104"/>
      <c r="L43" s="104"/>
      <c r="M43" s="104">
        <v>1050</v>
      </c>
      <c r="N43" s="104"/>
      <c r="O43" s="104"/>
      <c r="P43" s="104">
        <f>150</f>
        <v>150</v>
      </c>
      <c r="Q43" s="104"/>
      <c r="R43" s="104"/>
      <c r="S43" s="104"/>
      <c r="T43" s="106"/>
      <c r="U43" s="106"/>
      <c r="V43" s="106"/>
      <c r="W43" s="106"/>
      <c r="X43" s="104"/>
      <c r="Y43" s="104"/>
      <c r="Z43" s="104"/>
      <c r="AA43" s="104"/>
      <c r="AB43" s="106"/>
      <c r="AC43" s="106"/>
      <c r="AD43" s="105"/>
      <c r="AE43" s="42"/>
    </row>
    <row r="44" spans="1:31" ht="31.5" x14ac:dyDescent="0.3">
      <c r="A44" s="15">
        <v>18</v>
      </c>
      <c r="B44" s="35" t="s">
        <v>75</v>
      </c>
      <c r="C44" s="36"/>
      <c r="D44" s="36"/>
      <c r="E44" s="36"/>
      <c r="F44" s="37"/>
      <c r="G44" s="37"/>
      <c r="H44" s="37">
        <v>2800</v>
      </c>
      <c r="I44" s="37">
        <v>676.7</v>
      </c>
      <c r="J44" s="103">
        <f t="shared" si="2"/>
        <v>949.3</v>
      </c>
      <c r="K44" s="104">
        <f>407.3-200</f>
        <v>207.3</v>
      </c>
      <c r="L44" s="104"/>
      <c r="M44" s="104"/>
      <c r="N44" s="104"/>
      <c r="O44" s="104"/>
      <c r="P44" s="104"/>
      <c r="Q44" s="104"/>
      <c r="R44" s="104"/>
      <c r="S44" s="104"/>
      <c r="T44" s="106">
        <f>990-300</f>
        <v>690</v>
      </c>
      <c r="U44" s="106"/>
      <c r="V44" s="106"/>
      <c r="W44" s="106"/>
      <c r="X44" s="104">
        <f>100-48</f>
        <v>52</v>
      </c>
      <c r="Y44" s="104"/>
      <c r="Z44" s="104"/>
      <c r="AA44" s="104"/>
      <c r="AB44" s="106"/>
      <c r="AC44" s="106"/>
      <c r="AD44" s="105"/>
      <c r="AE44" s="42"/>
    </row>
    <row r="45" spans="1:31" ht="47.25" x14ac:dyDescent="0.3">
      <c r="A45" s="15">
        <v>19</v>
      </c>
      <c r="B45" s="35" t="s">
        <v>76</v>
      </c>
      <c r="C45" s="36"/>
      <c r="D45" s="36">
        <v>1077.2</v>
      </c>
      <c r="E45" s="36">
        <v>1000.54</v>
      </c>
      <c r="F45" s="37">
        <v>1040.56</v>
      </c>
      <c r="G45" s="37">
        <v>1019.8</v>
      </c>
      <c r="H45" s="37">
        <v>1014.05</v>
      </c>
      <c r="I45" s="37">
        <v>937.2</v>
      </c>
      <c r="J45" s="103">
        <f t="shared" si="2"/>
        <v>1139.6400000000001</v>
      </c>
      <c r="K45" s="104">
        <v>100</v>
      </c>
      <c r="L45" s="104">
        <v>85.8</v>
      </c>
      <c r="M45" s="104">
        <v>296.60000000000002</v>
      </c>
      <c r="N45" s="104"/>
      <c r="O45" s="104">
        <f>15.6-6</f>
        <v>9.6</v>
      </c>
      <c r="P45" s="104">
        <v>7.8</v>
      </c>
      <c r="Q45" s="104">
        <v>58</v>
      </c>
      <c r="R45" s="104">
        <v>475.9</v>
      </c>
      <c r="S45" s="104"/>
      <c r="T45" s="106"/>
      <c r="U45" s="106"/>
      <c r="V45" s="106"/>
      <c r="W45" s="106"/>
      <c r="X45" s="104">
        <v>77.7</v>
      </c>
      <c r="Y45" s="104"/>
      <c r="Z45" s="104">
        <v>5.64</v>
      </c>
      <c r="AA45" s="104">
        <v>2</v>
      </c>
      <c r="AB45" s="106"/>
      <c r="AC45" s="106"/>
      <c r="AD45" s="105">
        <v>20.6</v>
      </c>
      <c r="AE45" s="42"/>
    </row>
    <row r="46" spans="1:31" ht="20.25" x14ac:dyDescent="0.3">
      <c r="A46" s="15">
        <v>20</v>
      </c>
      <c r="B46" s="35" t="s">
        <v>77</v>
      </c>
      <c r="C46" s="36"/>
      <c r="D46" s="36">
        <v>174</v>
      </c>
      <c r="E46" s="36">
        <v>549.09</v>
      </c>
      <c r="F46" s="37">
        <v>504.33</v>
      </c>
      <c r="G46" s="37">
        <v>507.6</v>
      </c>
      <c r="H46" s="37">
        <v>369.1</v>
      </c>
      <c r="I46" s="37">
        <v>449.2</v>
      </c>
      <c r="J46" s="103">
        <f t="shared" si="2"/>
        <v>795.4</v>
      </c>
      <c r="K46" s="104"/>
      <c r="L46" s="104">
        <v>66.48</v>
      </c>
      <c r="M46" s="104">
        <v>226.72</v>
      </c>
      <c r="N46" s="104"/>
      <c r="O46" s="104">
        <v>24</v>
      </c>
      <c r="P46" s="104">
        <v>24</v>
      </c>
      <c r="Q46" s="104">
        <v>144</v>
      </c>
      <c r="R46" s="104"/>
      <c r="S46" s="104"/>
      <c r="T46" s="106"/>
      <c r="U46" s="106">
        <v>32.4</v>
      </c>
      <c r="V46" s="106"/>
      <c r="W46" s="106"/>
      <c r="X46" s="104">
        <v>24</v>
      </c>
      <c r="Y46" s="104"/>
      <c r="Z46" s="104">
        <v>24</v>
      </c>
      <c r="AA46" s="104">
        <v>192</v>
      </c>
      <c r="AB46" s="106"/>
      <c r="AC46" s="106"/>
      <c r="AD46" s="105">
        <v>37.799999999999997</v>
      </c>
      <c r="AE46" s="42"/>
    </row>
    <row r="47" spans="1:31" ht="78.75" x14ac:dyDescent="0.3">
      <c r="A47" s="15">
        <v>21</v>
      </c>
      <c r="B47" s="35" t="s">
        <v>78</v>
      </c>
      <c r="C47" s="36"/>
      <c r="D47" s="36">
        <v>751.94</v>
      </c>
      <c r="E47" s="36">
        <v>780.78</v>
      </c>
      <c r="F47" s="37">
        <v>835.45</v>
      </c>
      <c r="G47" s="37">
        <v>1039.5</v>
      </c>
      <c r="H47" s="37">
        <v>1100.8499999999999</v>
      </c>
      <c r="I47" s="37">
        <v>1074.69</v>
      </c>
      <c r="J47" s="103">
        <f t="shared" si="2"/>
        <v>880.4</v>
      </c>
      <c r="K47" s="104">
        <f>50+301</f>
        <v>351</v>
      </c>
      <c r="L47" s="104"/>
      <c r="M47" s="104"/>
      <c r="N47" s="104"/>
      <c r="O47" s="104"/>
      <c r="P47" s="104"/>
      <c r="Q47" s="104">
        <f>53+48+100+7.8+109</f>
        <v>317.8</v>
      </c>
      <c r="R47" s="104"/>
      <c r="S47" s="104"/>
      <c r="T47" s="106">
        <v>143.6</v>
      </c>
      <c r="U47" s="106"/>
      <c r="V47" s="106"/>
      <c r="W47" s="106"/>
      <c r="X47" s="104">
        <v>68</v>
      </c>
      <c r="Y47" s="104"/>
      <c r="Z47" s="104"/>
      <c r="AA47" s="104"/>
      <c r="AB47" s="106"/>
      <c r="AC47" s="106"/>
      <c r="AD47" s="105"/>
      <c r="AE47" s="42"/>
    </row>
    <row r="48" spans="1:31" ht="47.25" x14ac:dyDescent="0.3">
      <c r="A48" s="15">
        <v>22</v>
      </c>
      <c r="B48" s="35" t="s">
        <v>79</v>
      </c>
      <c r="C48" s="36"/>
      <c r="D48" s="36"/>
      <c r="E48" s="36"/>
      <c r="F48" s="37"/>
      <c r="G48" s="37"/>
      <c r="H48" s="37"/>
      <c r="I48" s="37"/>
      <c r="J48" s="103">
        <f t="shared" si="2"/>
        <v>51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6"/>
      <c r="U48" s="106">
        <v>51</v>
      </c>
      <c r="V48" s="106"/>
      <c r="W48" s="106"/>
      <c r="X48" s="104"/>
      <c r="Y48" s="104"/>
      <c r="Z48" s="104"/>
      <c r="AA48" s="104"/>
      <c r="AB48" s="106"/>
      <c r="AC48" s="106"/>
      <c r="AD48" s="105"/>
      <c r="AE48" s="42"/>
    </row>
    <row r="49" spans="1:31" ht="20.25" x14ac:dyDescent="0.3">
      <c r="A49" s="15">
        <v>23</v>
      </c>
      <c r="B49" s="35" t="s">
        <v>80</v>
      </c>
      <c r="C49" s="36"/>
      <c r="D49" s="36">
        <v>31.85</v>
      </c>
      <c r="E49" s="36">
        <v>30</v>
      </c>
      <c r="F49" s="37">
        <v>62.1</v>
      </c>
      <c r="G49" s="37">
        <v>30</v>
      </c>
      <c r="H49" s="37">
        <v>133.1</v>
      </c>
      <c r="I49" s="37">
        <v>136.25</v>
      </c>
      <c r="J49" s="103">
        <f t="shared" si="2"/>
        <v>30</v>
      </c>
      <c r="K49" s="104"/>
      <c r="L49" s="104"/>
      <c r="M49" s="104"/>
      <c r="N49" s="104"/>
      <c r="O49" s="104"/>
      <c r="P49" s="104"/>
      <c r="Q49" s="104"/>
      <c r="R49" s="104">
        <v>30</v>
      </c>
      <c r="S49" s="104"/>
      <c r="T49" s="106"/>
      <c r="U49" s="106"/>
      <c r="V49" s="106"/>
      <c r="W49" s="106"/>
      <c r="X49" s="104"/>
      <c r="Y49" s="104"/>
      <c r="Z49" s="104"/>
      <c r="AA49" s="104"/>
      <c r="AB49" s="106"/>
      <c r="AC49" s="106"/>
      <c r="AD49" s="105"/>
      <c r="AE49" s="42"/>
    </row>
    <row r="50" spans="1:31" ht="47.25" x14ac:dyDescent="0.3">
      <c r="A50" s="15">
        <v>24</v>
      </c>
      <c r="B50" s="35" t="s">
        <v>81</v>
      </c>
      <c r="C50" s="36"/>
      <c r="D50" s="36">
        <v>40.200000000000003</v>
      </c>
      <c r="E50" s="36">
        <v>40.200000000000003</v>
      </c>
      <c r="F50" s="37">
        <v>140</v>
      </c>
      <c r="G50" s="37">
        <v>145.19999999999999</v>
      </c>
      <c r="H50" s="37">
        <v>130.19999999999999</v>
      </c>
      <c r="I50" s="37">
        <v>127.9</v>
      </c>
      <c r="J50" s="103">
        <f t="shared" si="2"/>
        <v>141.70000000000002</v>
      </c>
      <c r="K50" s="104">
        <v>6</v>
      </c>
      <c r="L50" s="104">
        <v>12</v>
      </c>
      <c r="M50" s="104">
        <v>47</v>
      </c>
      <c r="N50" s="104"/>
      <c r="O50" s="104">
        <f>6</f>
        <v>6</v>
      </c>
      <c r="P50" s="104">
        <v>6</v>
      </c>
      <c r="Q50" s="104"/>
      <c r="R50" s="104">
        <v>40.200000000000003</v>
      </c>
      <c r="S50" s="104"/>
      <c r="T50" s="106"/>
      <c r="U50" s="106"/>
      <c r="V50" s="106"/>
      <c r="W50" s="106"/>
      <c r="X50" s="104"/>
      <c r="Y50" s="104"/>
      <c r="Z50" s="104">
        <v>4.9000000000000004</v>
      </c>
      <c r="AA50" s="104">
        <v>9.8000000000000007</v>
      </c>
      <c r="AB50" s="106"/>
      <c r="AC50" s="106"/>
      <c r="AD50" s="105">
        <v>9.8000000000000007</v>
      </c>
      <c r="AE50" s="42"/>
    </row>
    <row r="51" spans="1:31" ht="47.25" x14ac:dyDescent="0.3">
      <c r="A51" s="15">
        <v>25</v>
      </c>
      <c r="B51" s="35" t="s">
        <v>82</v>
      </c>
      <c r="C51" s="36"/>
      <c r="D51" s="36"/>
      <c r="E51" s="36"/>
      <c r="F51" s="37"/>
      <c r="G51" s="37"/>
      <c r="H51" s="37">
        <v>196.64</v>
      </c>
      <c r="I51" s="37">
        <v>71.52</v>
      </c>
      <c r="J51" s="103">
        <f t="shared" si="2"/>
        <v>39.700000000000003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6"/>
      <c r="U51" s="106"/>
      <c r="V51" s="106"/>
      <c r="W51" s="106"/>
      <c r="X51" s="104"/>
      <c r="Y51" s="104"/>
      <c r="Z51" s="104"/>
      <c r="AA51" s="104">
        <v>39.700000000000003</v>
      </c>
      <c r="AB51" s="106"/>
      <c r="AC51" s="106"/>
      <c r="AD51" s="105"/>
      <c r="AE51" s="42"/>
    </row>
    <row r="52" spans="1:31" ht="31.5" x14ac:dyDescent="0.3">
      <c r="A52" s="15">
        <v>26</v>
      </c>
      <c r="B52" s="35" t="s">
        <v>83</v>
      </c>
      <c r="C52" s="36"/>
      <c r="D52" s="36">
        <v>1406.22</v>
      </c>
      <c r="E52" s="36">
        <v>1461.52</v>
      </c>
      <c r="F52" s="37">
        <f>1664.52+45</f>
        <v>1709.52</v>
      </c>
      <c r="G52" s="37">
        <v>875</v>
      </c>
      <c r="H52" s="37">
        <v>2560.96</v>
      </c>
      <c r="I52" s="37">
        <v>1601.66</v>
      </c>
      <c r="J52" s="103">
        <f t="shared" si="2"/>
        <v>2635</v>
      </c>
      <c r="K52" s="104">
        <f>573.2-200</f>
        <v>373.20000000000005</v>
      </c>
      <c r="L52" s="104"/>
      <c r="M52" s="104"/>
      <c r="N52" s="104"/>
      <c r="O52" s="104"/>
      <c r="P52" s="104"/>
      <c r="Q52" s="104"/>
      <c r="R52" s="104"/>
      <c r="S52" s="104"/>
      <c r="T52" s="106">
        <v>1393.8</v>
      </c>
      <c r="U52" s="106">
        <f>46.8+40</f>
        <v>86.8</v>
      </c>
      <c r="V52" s="106">
        <f>465.8+100</f>
        <v>565.79999999999995</v>
      </c>
      <c r="W52" s="106"/>
      <c r="X52" s="104">
        <f>315.4-100</f>
        <v>215.39999999999998</v>
      </c>
      <c r="Y52" s="104"/>
      <c r="Z52" s="104"/>
      <c r="AA52" s="104"/>
      <c r="AB52" s="106"/>
      <c r="AC52" s="106"/>
      <c r="AD52" s="105"/>
      <c r="AE52" s="42"/>
    </row>
    <row r="53" spans="1:31" ht="20.25" x14ac:dyDescent="0.3">
      <c r="A53" s="15">
        <v>27</v>
      </c>
      <c r="B53" s="35" t="s">
        <v>84</v>
      </c>
      <c r="C53" s="36"/>
      <c r="D53" s="36">
        <v>369</v>
      </c>
      <c r="E53" s="36">
        <v>500</v>
      </c>
      <c r="F53" s="37">
        <v>2784</v>
      </c>
      <c r="G53" s="37">
        <v>2784</v>
      </c>
      <c r="H53" s="37">
        <v>2500</v>
      </c>
      <c r="I53" s="37">
        <v>2500</v>
      </c>
      <c r="J53" s="103">
        <f t="shared" si="2"/>
        <v>2500</v>
      </c>
      <c r="K53" s="104"/>
      <c r="L53" s="104"/>
      <c r="M53" s="104"/>
      <c r="N53" s="104"/>
      <c r="O53" s="104"/>
      <c r="P53" s="104"/>
      <c r="Q53" s="104">
        <v>2500</v>
      </c>
      <c r="R53" s="104"/>
      <c r="S53" s="104"/>
      <c r="T53" s="106"/>
      <c r="U53" s="106"/>
      <c r="V53" s="106"/>
      <c r="W53" s="106"/>
      <c r="X53" s="104"/>
      <c r="Y53" s="104"/>
      <c r="Z53" s="104"/>
      <c r="AA53" s="104"/>
      <c r="AB53" s="106"/>
      <c r="AC53" s="106"/>
      <c r="AD53" s="105"/>
      <c r="AE53" s="42"/>
    </row>
    <row r="54" spans="1:31" ht="94.5" x14ac:dyDescent="0.3">
      <c r="A54" s="15">
        <v>28</v>
      </c>
      <c r="B54" s="35" t="s">
        <v>85</v>
      </c>
      <c r="C54" s="36"/>
      <c r="D54" s="36"/>
      <c r="E54" s="36"/>
      <c r="F54" s="37"/>
      <c r="G54" s="37">
        <v>2785</v>
      </c>
      <c r="H54" s="37">
        <v>5000</v>
      </c>
      <c r="I54" s="37"/>
      <c r="J54" s="103">
        <f t="shared" si="2"/>
        <v>2300</v>
      </c>
      <c r="K54" s="104"/>
      <c r="L54" s="104"/>
      <c r="M54" s="104"/>
      <c r="N54" s="104"/>
      <c r="O54" s="104"/>
      <c r="P54" s="104"/>
      <c r="Q54" s="104">
        <v>2300</v>
      </c>
      <c r="R54" s="104"/>
      <c r="S54" s="104"/>
      <c r="T54" s="106"/>
      <c r="U54" s="106"/>
      <c r="V54" s="106"/>
      <c r="W54" s="106"/>
      <c r="X54" s="104"/>
      <c r="Y54" s="104"/>
      <c r="Z54" s="104"/>
      <c r="AA54" s="104"/>
      <c r="AB54" s="106"/>
      <c r="AC54" s="106"/>
      <c r="AD54" s="105"/>
      <c r="AE54" s="42"/>
    </row>
    <row r="55" spans="1:31" ht="54.75" customHeight="1" x14ac:dyDescent="0.3">
      <c r="A55" s="15">
        <v>29</v>
      </c>
      <c r="B55" s="35" t="s">
        <v>86</v>
      </c>
      <c r="C55" s="36"/>
      <c r="D55" s="36">
        <v>720</v>
      </c>
      <c r="E55" s="36">
        <v>763</v>
      </c>
      <c r="F55" s="37">
        <v>819</v>
      </c>
      <c r="G55" s="37">
        <v>200</v>
      </c>
      <c r="H55" s="37">
        <v>1728.73</v>
      </c>
      <c r="I55" s="37">
        <v>2149.34</v>
      </c>
      <c r="J55" s="103">
        <f t="shared" si="2"/>
        <v>2615.5300000000002</v>
      </c>
      <c r="K55" s="104"/>
      <c r="L55" s="104">
        <f>1344-500</f>
        <v>844</v>
      </c>
      <c r="M55" s="104">
        <f>1915.1-300</f>
        <v>1615.1</v>
      </c>
      <c r="N55" s="104"/>
      <c r="O55" s="107"/>
      <c r="P55" s="104">
        <v>22.8</v>
      </c>
      <c r="Q55" s="104"/>
      <c r="R55" s="104"/>
      <c r="S55" s="104"/>
      <c r="T55" s="106"/>
      <c r="U55" s="106"/>
      <c r="V55" s="106"/>
      <c r="W55" s="106"/>
      <c r="X55" s="104">
        <f>65.9+6</f>
        <v>71.900000000000006</v>
      </c>
      <c r="Y55" s="104"/>
      <c r="Z55" s="104">
        <v>4.9000000000000004</v>
      </c>
      <c r="AA55" s="104">
        <v>44.83</v>
      </c>
      <c r="AB55" s="106"/>
      <c r="AC55" s="106"/>
      <c r="AD55" s="105">
        <f>12</f>
        <v>12</v>
      </c>
      <c r="AE55" s="42"/>
    </row>
    <row r="56" spans="1:31" ht="20.25" x14ac:dyDescent="0.3">
      <c r="A56" s="15">
        <v>31</v>
      </c>
      <c r="B56" s="35" t="s">
        <v>87</v>
      </c>
      <c r="C56" s="36"/>
      <c r="D56" s="36">
        <v>180</v>
      </c>
      <c r="E56" s="36">
        <v>180</v>
      </c>
      <c r="F56" s="37">
        <f>240</f>
        <v>240</v>
      </c>
      <c r="G56" s="37">
        <v>0</v>
      </c>
      <c r="H56" s="37">
        <v>168</v>
      </c>
      <c r="I56" s="37">
        <v>200</v>
      </c>
      <c r="J56" s="103">
        <f t="shared" si="2"/>
        <v>200</v>
      </c>
      <c r="K56" s="104"/>
      <c r="L56" s="104"/>
      <c r="M56" s="104"/>
      <c r="N56" s="104"/>
      <c r="O56" s="104"/>
      <c r="P56" s="104"/>
      <c r="Q56" s="104"/>
      <c r="R56" s="104">
        <v>200</v>
      </c>
      <c r="S56" s="104"/>
      <c r="T56" s="106"/>
      <c r="U56" s="106"/>
      <c r="V56" s="106"/>
      <c r="W56" s="106"/>
      <c r="X56" s="104"/>
      <c r="Y56" s="104"/>
      <c r="Z56" s="104"/>
      <c r="AA56" s="104"/>
      <c r="AB56" s="106"/>
      <c r="AC56" s="106"/>
      <c r="AD56" s="105"/>
      <c r="AE56" s="42"/>
    </row>
    <row r="57" spans="1:31" ht="20.25" x14ac:dyDescent="0.3">
      <c r="A57" s="15">
        <v>32</v>
      </c>
      <c r="B57" s="35" t="s">
        <v>88</v>
      </c>
      <c r="C57" s="36"/>
      <c r="D57" s="36">
        <v>1315.55</v>
      </c>
      <c r="E57" s="36">
        <v>1141</v>
      </c>
      <c r="F57" s="37">
        <v>1221.55</v>
      </c>
      <c r="G57" s="37">
        <v>1290.7</v>
      </c>
      <c r="H57" s="37">
        <v>988.01</v>
      </c>
      <c r="I57" s="37">
        <v>1270.46</v>
      </c>
      <c r="J57" s="103">
        <f t="shared" si="2"/>
        <v>1217.3500000000001</v>
      </c>
      <c r="K57" s="104"/>
      <c r="L57" s="104">
        <v>194.6</v>
      </c>
      <c r="M57" s="104">
        <v>603.70000000000005</v>
      </c>
      <c r="N57" s="104"/>
      <c r="O57" s="107"/>
      <c r="P57" s="104">
        <v>62.305999999999997</v>
      </c>
      <c r="Q57" s="104"/>
      <c r="R57" s="104">
        <v>198</v>
      </c>
      <c r="S57" s="104"/>
      <c r="T57" s="106">
        <v>115.7</v>
      </c>
      <c r="U57" s="106"/>
      <c r="V57" s="106"/>
      <c r="W57" s="106"/>
      <c r="X57" s="104">
        <v>6.6529999999999996</v>
      </c>
      <c r="Y57" s="104"/>
      <c r="Z57" s="104">
        <v>22.8</v>
      </c>
      <c r="AA57" s="104">
        <v>8.9909999999999997</v>
      </c>
      <c r="AB57" s="106"/>
      <c r="AC57" s="106"/>
      <c r="AD57" s="105">
        <v>4.5999999999999996</v>
      </c>
      <c r="AE57" s="42"/>
    </row>
    <row r="58" spans="1:31" ht="20.25" x14ac:dyDescent="0.3">
      <c r="A58" s="15">
        <v>33</v>
      </c>
      <c r="B58" s="35" t="s">
        <v>89</v>
      </c>
      <c r="C58" s="36"/>
      <c r="D58" s="36">
        <v>772.83</v>
      </c>
      <c r="E58" s="36">
        <v>976.72</v>
      </c>
      <c r="F58" s="37">
        <v>1350.26</v>
      </c>
      <c r="G58" s="37">
        <v>1245.6300000000001</v>
      </c>
      <c r="H58" s="37">
        <v>3064.74</v>
      </c>
      <c r="I58" s="37">
        <v>4188.05</v>
      </c>
      <c r="J58" s="103">
        <f t="shared" si="2"/>
        <v>7897.3069999999998</v>
      </c>
      <c r="K58" s="104"/>
      <c r="L58" s="104">
        <v>241.5</v>
      </c>
      <c r="M58" s="104">
        <f>6802.9-1503.4</f>
        <v>5299.5</v>
      </c>
      <c r="N58" s="104"/>
      <c r="O58" s="104"/>
      <c r="P58" s="104">
        <v>28.6</v>
      </c>
      <c r="Q58" s="104"/>
      <c r="R58" s="104">
        <v>2032</v>
      </c>
      <c r="S58" s="104"/>
      <c r="T58" s="106"/>
      <c r="U58" s="106"/>
      <c r="V58" s="106">
        <v>235.9</v>
      </c>
      <c r="W58" s="106"/>
      <c r="X58" s="104"/>
      <c r="Y58" s="104"/>
      <c r="Z58" s="104">
        <v>34.700000000000003</v>
      </c>
      <c r="AA58" s="104">
        <v>9.907</v>
      </c>
      <c r="AB58" s="106"/>
      <c r="AC58" s="106"/>
      <c r="AD58" s="105">
        <v>15.2</v>
      </c>
      <c r="AE58" s="42"/>
    </row>
    <row r="59" spans="1:31" ht="20.25" x14ac:dyDescent="0.3">
      <c r="A59" s="15">
        <v>34</v>
      </c>
      <c r="B59" s="35" t="s">
        <v>90</v>
      </c>
      <c r="C59" s="36"/>
      <c r="D59" s="36">
        <v>134.19999999999999</v>
      </c>
      <c r="E59" s="36">
        <v>155.05000000000001</v>
      </c>
      <c r="F59" s="37">
        <v>171.38</v>
      </c>
      <c r="G59" s="37">
        <v>141.21</v>
      </c>
      <c r="H59" s="37">
        <v>121.98</v>
      </c>
      <c r="I59" s="37">
        <v>164.89</v>
      </c>
      <c r="J59" s="103">
        <f t="shared" si="2"/>
        <v>144.86099999999999</v>
      </c>
      <c r="K59" s="104">
        <v>8.1999999999999993</v>
      </c>
      <c r="L59" s="104"/>
      <c r="M59" s="104">
        <v>69.3</v>
      </c>
      <c r="N59" s="104"/>
      <c r="O59" s="104"/>
      <c r="P59" s="104">
        <v>4.0999999999999996</v>
      </c>
      <c r="Q59" s="104"/>
      <c r="R59" s="104">
        <v>54.5</v>
      </c>
      <c r="S59" s="104"/>
      <c r="T59" s="106">
        <v>0.9</v>
      </c>
      <c r="U59" s="106"/>
      <c r="V59" s="106"/>
      <c r="W59" s="106"/>
      <c r="X59" s="104">
        <v>7.8609999999999998</v>
      </c>
      <c r="Y59" s="104"/>
      <c r="Z59" s="104"/>
      <c r="AA59" s="104"/>
      <c r="AB59" s="106"/>
      <c r="AC59" s="106"/>
      <c r="AD59" s="105"/>
      <c r="AE59" s="42"/>
    </row>
    <row r="60" spans="1:31" ht="31.5" x14ac:dyDescent="0.3">
      <c r="A60" s="15">
        <v>35</v>
      </c>
      <c r="B60" s="35" t="s">
        <v>91</v>
      </c>
      <c r="C60" s="36"/>
      <c r="D60" s="36">
        <v>162.97999999999999</v>
      </c>
      <c r="E60" s="36">
        <v>140.34</v>
      </c>
      <c r="F60" s="37">
        <v>43.24</v>
      </c>
      <c r="G60" s="37">
        <v>44.84</v>
      </c>
      <c r="H60" s="37">
        <v>34.44</v>
      </c>
      <c r="I60" s="37">
        <v>22.34</v>
      </c>
      <c r="J60" s="103">
        <f t="shared" si="2"/>
        <v>5</v>
      </c>
      <c r="K60" s="104"/>
      <c r="L60" s="104"/>
      <c r="M60" s="104"/>
      <c r="N60" s="104"/>
      <c r="O60" s="104"/>
      <c r="P60" s="104"/>
      <c r="Q60" s="104">
        <v>5</v>
      </c>
      <c r="R60" s="104"/>
      <c r="S60" s="104"/>
      <c r="T60" s="106"/>
      <c r="U60" s="106"/>
      <c r="V60" s="106"/>
      <c r="W60" s="106"/>
      <c r="X60" s="104"/>
      <c r="Y60" s="104"/>
      <c r="Z60" s="104"/>
      <c r="AA60" s="104"/>
      <c r="AB60" s="106"/>
      <c r="AC60" s="106"/>
      <c r="AD60" s="105"/>
      <c r="AE60" s="42"/>
    </row>
    <row r="61" spans="1:31" ht="20.25" x14ac:dyDescent="0.3">
      <c r="A61" s="15">
        <v>36</v>
      </c>
      <c r="B61" s="35" t="s">
        <v>92</v>
      </c>
      <c r="C61" s="36"/>
      <c r="D61" s="36">
        <v>1.5</v>
      </c>
      <c r="E61" s="36">
        <v>2</v>
      </c>
      <c r="F61" s="37">
        <v>10</v>
      </c>
      <c r="G61" s="37">
        <v>0</v>
      </c>
      <c r="H61" s="37">
        <v>17</v>
      </c>
      <c r="I61" s="37">
        <v>19.600000000000001</v>
      </c>
      <c r="J61" s="103">
        <f t="shared" si="2"/>
        <v>44.6</v>
      </c>
      <c r="K61" s="104"/>
      <c r="L61" s="104"/>
      <c r="M61" s="104"/>
      <c r="N61" s="104"/>
      <c r="O61" s="104"/>
      <c r="P61" s="104"/>
      <c r="Q61" s="104"/>
      <c r="R61" s="104">
        <v>44.6</v>
      </c>
      <c r="S61" s="104"/>
      <c r="T61" s="106"/>
      <c r="U61" s="106"/>
      <c r="V61" s="106"/>
      <c r="W61" s="106"/>
      <c r="X61" s="104"/>
      <c r="Y61" s="104"/>
      <c r="Z61" s="104"/>
      <c r="AA61" s="104"/>
      <c r="AB61" s="106"/>
      <c r="AC61" s="106"/>
      <c r="AD61" s="105"/>
      <c r="AE61" s="42"/>
    </row>
    <row r="62" spans="1:31" ht="36" hidden="1" customHeight="1" x14ac:dyDescent="0.3">
      <c r="A62" s="15">
        <v>37</v>
      </c>
      <c r="B62" s="35" t="s">
        <v>93</v>
      </c>
      <c r="C62" s="36"/>
      <c r="D62" s="36"/>
      <c r="E62" s="36"/>
      <c r="F62" s="37"/>
      <c r="G62" s="37"/>
      <c r="H62" s="37"/>
      <c r="I62" s="37">
        <v>3805.9</v>
      </c>
      <c r="J62" s="103">
        <f t="shared" si="2"/>
        <v>0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6"/>
      <c r="U62" s="106"/>
      <c r="V62" s="106"/>
      <c r="W62" s="106"/>
      <c r="X62" s="104"/>
      <c r="Y62" s="104"/>
      <c r="Z62" s="104"/>
      <c r="AA62" s="104"/>
      <c r="AB62" s="106"/>
      <c r="AC62" s="106"/>
      <c r="AD62" s="105"/>
      <c r="AE62" s="42"/>
    </row>
    <row r="63" spans="1:31" ht="31.5" hidden="1" x14ac:dyDescent="0.3">
      <c r="A63" s="15">
        <v>38</v>
      </c>
      <c r="B63" s="35" t="s">
        <v>94</v>
      </c>
      <c r="C63" s="36"/>
      <c r="D63" s="36"/>
      <c r="E63" s="36"/>
      <c r="F63" s="37"/>
      <c r="G63" s="37"/>
      <c r="H63" s="37"/>
      <c r="I63" s="37"/>
      <c r="J63" s="103">
        <f t="shared" si="2"/>
        <v>0</v>
      </c>
      <c r="K63" s="104"/>
      <c r="L63" s="104"/>
      <c r="M63" s="104"/>
      <c r="N63" s="104"/>
      <c r="O63" s="104"/>
      <c r="P63" s="104"/>
      <c r="Q63" s="104"/>
      <c r="R63" s="104"/>
      <c r="S63" s="104"/>
      <c r="T63" s="106"/>
      <c r="U63" s="106"/>
      <c r="V63" s="106"/>
      <c r="W63" s="106"/>
      <c r="X63" s="104"/>
      <c r="Y63" s="104"/>
      <c r="Z63" s="104"/>
      <c r="AA63" s="104"/>
      <c r="AB63" s="106"/>
      <c r="AC63" s="106"/>
      <c r="AD63" s="105"/>
      <c r="AE63" s="42"/>
    </row>
    <row r="64" spans="1:31" ht="31.5" x14ac:dyDescent="0.3">
      <c r="A64" s="15">
        <v>39</v>
      </c>
      <c r="B64" s="35" t="s">
        <v>95</v>
      </c>
      <c r="C64" s="36"/>
      <c r="D64" s="36"/>
      <c r="E64" s="36"/>
      <c r="F64" s="37"/>
      <c r="G64" s="37"/>
      <c r="H64" s="37"/>
      <c r="I64" s="37"/>
      <c r="J64" s="103">
        <f t="shared" si="2"/>
        <v>2500</v>
      </c>
      <c r="K64" s="104"/>
      <c r="L64" s="104"/>
      <c r="M64" s="104"/>
      <c r="N64" s="104"/>
      <c r="O64" s="104"/>
      <c r="P64" s="104"/>
      <c r="Q64" s="104"/>
      <c r="R64" s="104">
        <v>2500</v>
      </c>
      <c r="S64" s="104"/>
      <c r="T64" s="106"/>
      <c r="U64" s="106"/>
      <c r="V64" s="106"/>
      <c r="W64" s="106"/>
      <c r="X64" s="104"/>
      <c r="Y64" s="104"/>
      <c r="Z64" s="104"/>
      <c r="AA64" s="104"/>
      <c r="AB64" s="106"/>
      <c r="AC64" s="106"/>
      <c r="AD64" s="105"/>
      <c r="AE64" s="42"/>
    </row>
    <row r="65" spans="1:31" ht="63.75" hidden="1" customHeight="1" x14ac:dyDescent="0.3">
      <c r="A65" s="15">
        <v>40</v>
      </c>
      <c r="B65" s="35" t="s">
        <v>96</v>
      </c>
      <c r="C65" s="36"/>
      <c r="D65" s="36"/>
      <c r="E65" s="36"/>
      <c r="F65" s="37"/>
      <c r="G65" s="37"/>
      <c r="H65" s="37"/>
      <c r="I65" s="37"/>
      <c r="J65" s="103">
        <f t="shared" si="2"/>
        <v>0</v>
      </c>
      <c r="K65" s="104"/>
      <c r="L65" s="104"/>
      <c r="M65" s="104"/>
      <c r="N65" s="104"/>
      <c r="O65" s="104"/>
      <c r="P65" s="104"/>
      <c r="Q65" s="104"/>
      <c r="R65" s="104"/>
      <c r="S65" s="104"/>
      <c r="T65" s="106"/>
      <c r="U65" s="106"/>
      <c r="V65" s="106"/>
      <c r="W65" s="106"/>
      <c r="X65" s="104"/>
      <c r="Y65" s="104"/>
      <c r="Z65" s="104"/>
      <c r="AA65" s="104"/>
      <c r="AB65" s="106"/>
      <c r="AC65" s="106"/>
      <c r="AD65" s="105"/>
      <c r="AE65" s="42"/>
    </row>
    <row r="66" spans="1:31" ht="78.75" hidden="1" x14ac:dyDescent="0.3">
      <c r="A66" s="15">
        <v>41</v>
      </c>
      <c r="B66" s="35" t="s">
        <v>97</v>
      </c>
      <c r="C66" s="36"/>
      <c r="D66" s="36"/>
      <c r="E66" s="36"/>
      <c r="F66" s="37"/>
      <c r="G66" s="37"/>
      <c r="H66" s="37"/>
      <c r="I66" s="37"/>
      <c r="J66" s="103">
        <f t="shared" si="2"/>
        <v>0</v>
      </c>
      <c r="K66" s="104"/>
      <c r="L66" s="104"/>
      <c r="M66" s="104"/>
      <c r="N66" s="104"/>
      <c r="O66" s="104"/>
      <c r="P66" s="104"/>
      <c r="Q66" s="104"/>
      <c r="R66" s="104"/>
      <c r="S66" s="104"/>
      <c r="T66" s="106"/>
      <c r="U66" s="106"/>
      <c r="V66" s="106"/>
      <c r="W66" s="106"/>
      <c r="X66" s="104"/>
      <c r="Y66" s="104"/>
      <c r="Z66" s="104"/>
      <c r="AA66" s="104"/>
      <c r="AB66" s="106"/>
      <c r="AC66" s="106"/>
      <c r="AD66" s="105"/>
      <c r="AE66" s="42"/>
    </row>
    <row r="67" spans="1:31" ht="78.75" hidden="1" x14ac:dyDescent="0.3">
      <c r="A67" s="15">
        <v>42</v>
      </c>
      <c r="B67" s="35" t="s">
        <v>98</v>
      </c>
      <c r="C67" s="36"/>
      <c r="D67" s="36"/>
      <c r="E67" s="36"/>
      <c r="F67" s="37"/>
      <c r="G67" s="37"/>
      <c r="H67" s="37"/>
      <c r="I67" s="37"/>
      <c r="J67" s="103">
        <f t="shared" si="2"/>
        <v>0</v>
      </c>
      <c r="K67" s="104"/>
      <c r="L67" s="104"/>
      <c r="M67" s="104"/>
      <c r="N67" s="104"/>
      <c r="O67" s="104"/>
      <c r="P67" s="104"/>
      <c r="Q67" s="104"/>
      <c r="R67" s="104"/>
      <c r="S67" s="104"/>
      <c r="T67" s="106"/>
      <c r="U67" s="106"/>
      <c r="V67" s="106"/>
      <c r="W67" s="106"/>
      <c r="X67" s="104"/>
      <c r="Y67" s="104"/>
      <c r="Z67" s="104"/>
      <c r="AA67" s="104"/>
      <c r="AB67" s="106"/>
      <c r="AC67" s="106"/>
      <c r="AD67" s="105"/>
      <c r="AE67" s="42"/>
    </row>
    <row r="68" spans="1:31" ht="63" hidden="1" x14ac:dyDescent="0.3">
      <c r="A68" s="15">
        <v>43</v>
      </c>
      <c r="B68" s="35" t="s">
        <v>99</v>
      </c>
      <c r="C68" s="36"/>
      <c r="D68" s="36"/>
      <c r="E68" s="36"/>
      <c r="F68" s="37"/>
      <c r="G68" s="37"/>
      <c r="H68" s="37"/>
      <c r="I68" s="37"/>
      <c r="J68" s="103">
        <f t="shared" si="2"/>
        <v>0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6"/>
      <c r="U68" s="106"/>
      <c r="V68" s="106"/>
      <c r="W68" s="106"/>
      <c r="X68" s="104"/>
      <c r="Y68" s="104"/>
      <c r="Z68" s="104"/>
      <c r="AA68" s="104"/>
      <c r="AB68" s="106"/>
      <c r="AC68" s="106"/>
      <c r="AD68" s="105"/>
      <c r="AE68" s="42"/>
    </row>
    <row r="69" spans="1:31" ht="63" x14ac:dyDescent="0.3">
      <c r="A69" s="15">
        <v>44</v>
      </c>
      <c r="B69" s="35" t="s">
        <v>100</v>
      </c>
      <c r="C69" s="36"/>
      <c r="D69" s="36"/>
      <c r="E69" s="36"/>
      <c r="F69" s="37"/>
      <c r="G69" s="37"/>
      <c r="H69" s="37"/>
      <c r="I69" s="37">
        <v>500</v>
      </c>
      <c r="J69" s="103">
        <f t="shared" si="2"/>
        <v>1500</v>
      </c>
      <c r="K69" s="104"/>
      <c r="L69" s="104"/>
      <c r="M69" s="104"/>
      <c r="N69" s="104"/>
      <c r="O69" s="104"/>
      <c r="P69" s="104"/>
      <c r="Q69" s="104"/>
      <c r="R69" s="104">
        <f>(1500+1500)-1500</f>
        <v>1500</v>
      </c>
      <c r="S69" s="104"/>
      <c r="T69" s="106"/>
      <c r="U69" s="106"/>
      <c r="V69" s="106"/>
      <c r="W69" s="106"/>
      <c r="X69" s="104"/>
      <c r="Y69" s="104"/>
      <c r="Z69" s="104"/>
      <c r="AA69" s="104"/>
      <c r="AB69" s="106"/>
      <c r="AC69" s="106"/>
      <c r="AD69" s="105"/>
      <c r="AE69" s="42"/>
    </row>
    <row r="70" spans="1:31" ht="31.5" hidden="1" customHeight="1" x14ac:dyDescent="0.3">
      <c r="A70" s="15">
        <v>45</v>
      </c>
      <c r="B70" s="35" t="s">
        <v>101</v>
      </c>
      <c r="C70" s="36"/>
      <c r="D70" s="36"/>
      <c r="E70" s="36"/>
      <c r="F70" s="37"/>
      <c r="G70" s="37"/>
      <c r="H70" s="37"/>
      <c r="I70" s="37">
        <v>200</v>
      </c>
      <c r="J70" s="103">
        <f t="shared" si="2"/>
        <v>0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6"/>
      <c r="U70" s="106"/>
      <c r="V70" s="106"/>
      <c r="W70" s="106"/>
      <c r="X70" s="104"/>
      <c r="Y70" s="104"/>
      <c r="Z70" s="104"/>
      <c r="AA70" s="104"/>
      <c r="AB70" s="106"/>
      <c r="AC70" s="106"/>
      <c r="AD70" s="105"/>
      <c r="AE70" s="42"/>
    </row>
    <row r="71" spans="1:31" ht="31.5" x14ac:dyDescent="0.3">
      <c r="A71" s="15">
        <v>46</v>
      </c>
      <c r="B71" s="35" t="s">
        <v>102</v>
      </c>
      <c r="C71" s="36"/>
      <c r="D71" s="36"/>
      <c r="E71" s="36"/>
      <c r="F71" s="37"/>
      <c r="G71" s="37"/>
      <c r="H71" s="37"/>
      <c r="I71" s="37"/>
      <c r="J71" s="103">
        <f t="shared" si="2"/>
        <v>500</v>
      </c>
      <c r="K71" s="104"/>
      <c r="L71" s="104"/>
      <c r="M71" s="104"/>
      <c r="N71" s="104"/>
      <c r="O71" s="104"/>
      <c r="P71" s="104"/>
      <c r="Q71" s="104"/>
      <c r="R71" s="104">
        <f>500</f>
        <v>500</v>
      </c>
      <c r="S71" s="104"/>
      <c r="T71" s="106"/>
      <c r="U71" s="106"/>
      <c r="V71" s="106"/>
      <c r="W71" s="106"/>
      <c r="X71" s="104"/>
      <c r="Y71" s="104"/>
      <c r="Z71" s="104"/>
      <c r="AA71" s="104"/>
      <c r="AB71" s="106"/>
      <c r="AC71" s="106"/>
      <c r="AD71" s="105"/>
      <c r="AE71" s="42"/>
    </row>
    <row r="72" spans="1:31" ht="57.75" hidden="1" customHeight="1" x14ac:dyDescent="0.3">
      <c r="A72" s="15">
        <v>47</v>
      </c>
      <c r="B72" s="35" t="s">
        <v>103</v>
      </c>
      <c r="C72" s="36"/>
      <c r="D72" s="36"/>
      <c r="E72" s="36"/>
      <c r="F72" s="37"/>
      <c r="G72" s="37"/>
      <c r="H72" s="37"/>
      <c r="I72" s="37">
        <v>100.3</v>
      </c>
      <c r="J72" s="103">
        <f t="shared" si="2"/>
        <v>0</v>
      </c>
      <c r="K72" s="104"/>
      <c r="L72" s="104"/>
      <c r="M72" s="104"/>
      <c r="N72" s="104"/>
      <c r="O72" s="104"/>
      <c r="P72" s="104"/>
      <c r="Q72" s="104"/>
      <c r="R72" s="104"/>
      <c r="S72" s="104"/>
      <c r="T72" s="106"/>
      <c r="U72" s="106"/>
      <c r="V72" s="106"/>
      <c r="W72" s="106"/>
      <c r="X72" s="104"/>
      <c r="Y72" s="104"/>
      <c r="Z72" s="104"/>
      <c r="AA72" s="104"/>
      <c r="AB72" s="106"/>
      <c r="AC72" s="106"/>
      <c r="AD72" s="105"/>
      <c r="AE72" s="42"/>
    </row>
    <row r="73" spans="1:31" ht="47.25" x14ac:dyDescent="0.3">
      <c r="A73" s="15">
        <v>48</v>
      </c>
      <c r="B73" s="35" t="s">
        <v>104</v>
      </c>
      <c r="C73" s="36"/>
      <c r="D73" s="36"/>
      <c r="E73" s="36"/>
      <c r="F73" s="37"/>
      <c r="G73" s="37"/>
      <c r="H73" s="37">
        <v>330</v>
      </c>
      <c r="I73" s="37">
        <v>500</v>
      </c>
      <c r="J73" s="103">
        <f t="shared" si="2"/>
        <v>900</v>
      </c>
      <c r="K73" s="104"/>
      <c r="L73" s="104"/>
      <c r="M73" s="104"/>
      <c r="N73" s="104"/>
      <c r="O73" s="104"/>
      <c r="P73" s="104"/>
      <c r="Q73" s="104"/>
      <c r="R73" s="104">
        <f>1200-300</f>
        <v>900</v>
      </c>
      <c r="S73" s="104"/>
      <c r="T73" s="106"/>
      <c r="U73" s="106"/>
      <c r="V73" s="106"/>
      <c r="W73" s="106"/>
      <c r="X73" s="104"/>
      <c r="Y73" s="104"/>
      <c r="Z73" s="104"/>
      <c r="AA73" s="104"/>
      <c r="AB73" s="106"/>
      <c r="AC73" s="106"/>
      <c r="AD73" s="105"/>
      <c r="AE73" s="42"/>
    </row>
    <row r="74" spans="1:31" ht="20.25" x14ac:dyDescent="0.3">
      <c r="A74" s="15">
        <v>49</v>
      </c>
      <c r="B74" s="35" t="s">
        <v>105</v>
      </c>
      <c r="C74" s="36"/>
      <c r="D74" s="36">
        <v>2843.7</v>
      </c>
      <c r="E74" s="36">
        <v>4150.2</v>
      </c>
      <c r="F74" s="37">
        <v>6071.3</v>
      </c>
      <c r="G74" s="37">
        <v>5063.3</v>
      </c>
      <c r="H74" s="37">
        <v>5444.8</v>
      </c>
      <c r="I74" s="37">
        <v>5533.4</v>
      </c>
      <c r="J74" s="103">
        <f t="shared" si="2"/>
        <v>13972.67</v>
      </c>
      <c r="K74" s="104"/>
      <c r="L74" s="104"/>
      <c r="M74" s="104"/>
      <c r="N74" s="104"/>
      <c r="O74" s="104"/>
      <c r="P74" s="104"/>
      <c r="Q74" s="104"/>
      <c r="R74" s="104">
        <v>13972.67</v>
      </c>
      <c r="S74" s="104"/>
      <c r="T74" s="106"/>
      <c r="U74" s="106"/>
      <c r="V74" s="106"/>
      <c r="W74" s="106"/>
      <c r="X74" s="104"/>
      <c r="Y74" s="104"/>
      <c r="Z74" s="104"/>
      <c r="AA74" s="104"/>
      <c r="AB74" s="106"/>
      <c r="AC74" s="106"/>
      <c r="AD74" s="105"/>
      <c r="AE74" s="42"/>
    </row>
    <row r="75" spans="1:31" ht="20.25" x14ac:dyDescent="0.3">
      <c r="A75" s="15">
        <v>50</v>
      </c>
      <c r="B75" s="35" t="s">
        <v>106</v>
      </c>
      <c r="C75" s="36"/>
      <c r="D75" s="36">
        <v>227</v>
      </c>
      <c r="E75" s="36">
        <v>200</v>
      </c>
      <c r="F75" s="37">
        <v>98</v>
      </c>
      <c r="G75" s="37">
        <v>98</v>
      </c>
      <c r="H75" s="37">
        <v>98</v>
      </c>
      <c r="I75" s="37">
        <v>26</v>
      </c>
      <c r="J75" s="103">
        <f t="shared" si="2"/>
        <v>20</v>
      </c>
      <c r="K75" s="104"/>
      <c r="L75" s="104"/>
      <c r="M75" s="104"/>
      <c r="N75" s="104"/>
      <c r="O75" s="104"/>
      <c r="P75" s="104"/>
      <c r="Q75" s="104">
        <f>20-2</f>
        <v>18</v>
      </c>
      <c r="R75" s="104">
        <f>2</f>
        <v>2</v>
      </c>
      <c r="S75" s="104"/>
      <c r="T75" s="106"/>
      <c r="U75" s="106"/>
      <c r="V75" s="106"/>
      <c r="W75" s="106"/>
      <c r="X75" s="104"/>
      <c r="Y75" s="104"/>
      <c r="Z75" s="104"/>
      <c r="AA75" s="104"/>
      <c r="AB75" s="106"/>
      <c r="AC75" s="106"/>
      <c r="AD75" s="105"/>
      <c r="AE75" s="42"/>
    </row>
    <row r="76" spans="1:31" ht="20.25" x14ac:dyDescent="0.3">
      <c r="A76" s="15">
        <v>51</v>
      </c>
      <c r="B76" s="35" t="s">
        <v>107</v>
      </c>
      <c r="C76" s="36"/>
      <c r="D76" s="36">
        <v>496.76</v>
      </c>
      <c r="E76" s="36">
        <v>517</v>
      </c>
      <c r="F76" s="37">
        <v>685.87</v>
      </c>
      <c r="G76" s="37">
        <v>708.96</v>
      </c>
      <c r="H76" s="37">
        <v>679.01</v>
      </c>
      <c r="I76" s="37">
        <v>1255.8800000000001</v>
      </c>
      <c r="J76" s="103">
        <f t="shared" si="2"/>
        <v>1339.252</v>
      </c>
      <c r="K76" s="104"/>
      <c r="L76" s="104">
        <v>36</v>
      </c>
      <c r="M76" s="104">
        <v>1091.2</v>
      </c>
      <c r="N76" s="104"/>
      <c r="O76" s="104"/>
      <c r="P76" s="104">
        <v>114.2</v>
      </c>
      <c r="Q76" s="104"/>
      <c r="R76" s="104">
        <v>48</v>
      </c>
      <c r="S76" s="104"/>
      <c r="T76" s="106"/>
      <c r="U76" s="106"/>
      <c r="V76" s="106"/>
      <c r="W76" s="106"/>
      <c r="X76" s="104">
        <v>6.23</v>
      </c>
      <c r="Y76" s="104">
        <v>5.5</v>
      </c>
      <c r="Z76" s="104">
        <v>8.6</v>
      </c>
      <c r="AA76" s="104">
        <v>4.3220000000000001</v>
      </c>
      <c r="AB76" s="106"/>
      <c r="AC76" s="106"/>
      <c r="AD76" s="108">
        <v>25.2</v>
      </c>
      <c r="AE76" s="42"/>
    </row>
    <row r="77" spans="1:31" ht="31.5" x14ac:dyDescent="0.3">
      <c r="A77" s="15">
        <v>52</v>
      </c>
      <c r="B77" s="35" t="s">
        <v>108</v>
      </c>
      <c r="C77" s="36"/>
      <c r="D77" s="36">
        <v>612.42999999999995</v>
      </c>
      <c r="E77" s="36">
        <v>721.12</v>
      </c>
      <c r="F77" s="37">
        <v>740.41</v>
      </c>
      <c r="G77" s="37">
        <v>500</v>
      </c>
      <c r="H77" s="37">
        <v>656.25</v>
      </c>
      <c r="I77" s="37">
        <v>727.21</v>
      </c>
      <c r="J77" s="103">
        <f t="shared" si="2"/>
        <v>855.55000000000007</v>
      </c>
      <c r="K77" s="104"/>
      <c r="L77" s="104">
        <v>80</v>
      </c>
      <c r="M77" s="104">
        <v>757.2</v>
      </c>
      <c r="N77" s="104"/>
      <c r="O77" s="104"/>
      <c r="P77" s="104">
        <v>10</v>
      </c>
      <c r="Q77" s="104"/>
      <c r="R77" s="104"/>
      <c r="S77" s="104"/>
      <c r="T77" s="106"/>
      <c r="U77" s="106"/>
      <c r="V77" s="106"/>
      <c r="W77" s="106"/>
      <c r="X77" s="104"/>
      <c r="Y77" s="104"/>
      <c r="Z77" s="104"/>
      <c r="AA77" s="104"/>
      <c r="AB77" s="106"/>
      <c r="AC77" s="106"/>
      <c r="AD77" s="105">
        <v>8.35</v>
      </c>
      <c r="AE77" s="42"/>
    </row>
    <row r="78" spans="1:31" ht="41.25" customHeight="1" x14ac:dyDescent="0.3">
      <c r="A78" s="15">
        <v>54</v>
      </c>
      <c r="B78" s="109" t="s">
        <v>109</v>
      </c>
      <c r="C78" s="36"/>
      <c r="D78" s="36">
        <v>467</v>
      </c>
      <c r="E78" s="36">
        <v>603</v>
      </c>
      <c r="F78" s="37"/>
      <c r="G78" s="37">
        <v>500</v>
      </c>
      <c r="H78" s="37">
        <v>1837.31</v>
      </c>
      <c r="I78" s="37">
        <v>600</v>
      </c>
      <c r="J78" s="103">
        <f t="shared" si="2"/>
        <v>576.99</v>
      </c>
      <c r="K78" s="104"/>
      <c r="L78" s="104"/>
      <c r="M78" s="104"/>
      <c r="N78" s="104"/>
      <c r="O78" s="104"/>
      <c r="P78" s="104"/>
      <c r="Q78" s="104"/>
      <c r="R78" s="104">
        <f>900-150-173.01</f>
        <v>576.99</v>
      </c>
      <c r="S78" s="104"/>
      <c r="T78" s="106"/>
      <c r="U78" s="106"/>
      <c r="V78" s="106"/>
      <c r="W78" s="106"/>
      <c r="X78" s="104"/>
      <c r="Y78" s="104"/>
      <c r="Z78" s="104"/>
      <c r="AA78" s="104"/>
      <c r="AB78" s="106"/>
      <c r="AC78" s="106"/>
      <c r="AD78" s="105"/>
      <c r="AE78" s="42"/>
    </row>
    <row r="79" spans="1:31" ht="20.25" x14ac:dyDescent="0.3">
      <c r="A79" s="15">
        <v>55</v>
      </c>
      <c r="B79" s="109" t="s">
        <v>110</v>
      </c>
      <c r="C79" s="36"/>
      <c r="D79" s="36"/>
      <c r="E79" s="36"/>
      <c r="F79" s="37">
        <v>600</v>
      </c>
      <c r="G79" s="37">
        <v>500</v>
      </c>
      <c r="H79" s="37">
        <v>2157.6</v>
      </c>
      <c r="I79" s="37">
        <v>600</v>
      </c>
      <c r="J79" s="103">
        <f t="shared" si="2"/>
        <v>600</v>
      </c>
      <c r="K79" s="104"/>
      <c r="L79" s="104"/>
      <c r="M79" s="104"/>
      <c r="N79" s="104"/>
      <c r="O79" s="104"/>
      <c r="P79" s="104"/>
      <c r="Q79" s="104"/>
      <c r="R79" s="104">
        <f>900-300</f>
        <v>600</v>
      </c>
      <c r="S79" s="104"/>
      <c r="T79" s="106"/>
      <c r="U79" s="106"/>
      <c r="V79" s="106"/>
      <c r="W79" s="106"/>
      <c r="X79" s="104"/>
      <c r="Y79" s="104"/>
      <c r="Z79" s="104"/>
      <c r="AA79" s="104"/>
      <c r="AB79" s="106"/>
      <c r="AC79" s="106"/>
      <c r="AD79" s="105"/>
      <c r="AE79" s="42"/>
    </row>
    <row r="80" spans="1:31" ht="20.25" x14ac:dyDescent="0.3">
      <c r="A80" s="15">
        <v>57</v>
      </c>
      <c r="B80" s="109" t="s">
        <v>111</v>
      </c>
      <c r="C80" s="36"/>
      <c r="D80" s="36"/>
      <c r="E80" s="36"/>
      <c r="F80" s="37"/>
      <c r="G80" s="37">
        <v>502</v>
      </c>
      <c r="H80" s="37">
        <v>240</v>
      </c>
      <c r="I80" s="37">
        <v>240</v>
      </c>
      <c r="J80" s="103">
        <f t="shared" ref="J80:J118" si="3">SUM(K80:AD80)</f>
        <v>150</v>
      </c>
      <c r="K80" s="104"/>
      <c r="L80" s="104"/>
      <c r="M80" s="104"/>
      <c r="N80" s="104"/>
      <c r="O80" s="104"/>
      <c r="P80" s="104"/>
      <c r="Q80" s="104"/>
      <c r="R80" s="104">
        <v>150</v>
      </c>
      <c r="S80" s="104"/>
      <c r="T80" s="106"/>
      <c r="U80" s="106"/>
      <c r="V80" s="106"/>
      <c r="W80" s="106"/>
      <c r="X80" s="104"/>
      <c r="Y80" s="104"/>
      <c r="Z80" s="104"/>
      <c r="AA80" s="104"/>
      <c r="AB80" s="106"/>
      <c r="AC80" s="106"/>
      <c r="AD80" s="105"/>
      <c r="AE80" s="42"/>
    </row>
    <row r="81" spans="1:31" ht="20.25" x14ac:dyDescent="0.3">
      <c r="A81" s="15">
        <v>58</v>
      </c>
      <c r="B81" s="109" t="s">
        <v>112</v>
      </c>
      <c r="C81" s="36"/>
      <c r="D81" s="36"/>
      <c r="E81" s="36"/>
      <c r="F81" s="37"/>
      <c r="G81" s="37"/>
      <c r="H81" s="37"/>
      <c r="I81" s="37">
        <v>200</v>
      </c>
      <c r="J81" s="103">
        <f t="shared" si="3"/>
        <v>250</v>
      </c>
      <c r="K81" s="104"/>
      <c r="L81" s="104"/>
      <c r="M81" s="104"/>
      <c r="N81" s="104"/>
      <c r="O81" s="104"/>
      <c r="P81" s="104"/>
      <c r="Q81" s="104"/>
      <c r="R81" s="104">
        <v>250</v>
      </c>
      <c r="S81" s="104"/>
      <c r="T81" s="106"/>
      <c r="U81" s="106"/>
      <c r="V81" s="106"/>
      <c r="W81" s="106"/>
      <c r="X81" s="104"/>
      <c r="Y81" s="104"/>
      <c r="Z81" s="104"/>
      <c r="AA81" s="104"/>
      <c r="AB81" s="106"/>
      <c r="AC81" s="106"/>
      <c r="AD81" s="105"/>
      <c r="AE81" s="42"/>
    </row>
    <row r="82" spans="1:31" ht="36" customHeight="1" x14ac:dyDescent="0.3">
      <c r="A82" s="15">
        <v>59</v>
      </c>
      <c r="B82" s="109" t="s">
        <v>113</v>
      </c>
      <c r="C82" s="36"/>
      <c r="D82" s="36"/>
      <c r="E82" s="36"/>
      <c r="F82" s="37"/>
      <c r="G82" s="37">
        <v>503</v>
      </c>
      <c r="H82" s="37">
        <v>160</v>
      </c>
      <c r="I82" s="37">
        <v>638</v>
      </c>
      <c r="J82" s="103">
        <f t="shared" si="3"/>
        <v>411</v>
      </c>
      <c r="K82" s="104"/>
      <c r="L82" s="104"/>
      <c r="M82" s="104"/>
      <c r="N82" s="104"/>
      <c r="O82" s="104"/>
      <c r="P82" s="104"/>
      <c r="Q82" s="104"/>
      <c r="R82" s="104">
        <v>411</v>
      </c>
      <c r="S82" s="104"/>
      <c r="T82" s="106"/>
      <c r="U82" s="106"/>
      <c r="V82" s="106"/>
      <c r="W82" s="106"/>
      <c r="X82" s="104"/>
      <c r="Y82" s="104"/>
      <c r="Z82" s="104"/>
      <c r="AA82" s="104"/>
      <c r="AB82" s="106"/>
      <c r="AC82" s="106"/>
      <c r="AD82" s="105"/>
      <c r="AE82" s="42"/>
    </row>
    <row r="83" spans="1:31" ht="78.75" x14ac:dyDescent="0.3">
      <c r="A83" s="15">
        <v>60</v>
      </c>
      <c r="B83" s="109" t="s">
        <v>114</v>
      </c>
      <c r="C83" s="36"/>
      <c r="D83" s="36"/>
      <c r="E83" s="36"/>
      <c r="F83" s="37"/>
      <c r="G83" s="37"/>
      <c r="H83" s="37"/>
      <c r="I83" s="37"/>
      <c r="J83" s="103">
        <f t="shared" si="3"/>
        <v>200</v>
      </c>
      <c r="K83" s="104"/>
      <c r="L83" s="104"/>
      <c r="M83" s="104"/>
      <c r="N83" s="104"/>
      <c r="O83" s="104"/>
      <c r="P83" s="104"/>
      <c r="Q83" s="104"/>
      <c r="R83" s="104">
        <f>600-400</f>
        <v>200</v>
      </c>
      <c r="S83" s="104"/>
      <c r="T83" s="106"/>
      <c r="U83" s="106"/>
      <c r="V83" s="106"/>
      <c r="W83" s="106"/>
      <c r="X83" s="104"/>
      <c r="Y83" s="104"/>
      <c r="Z83" s="104"/>
      <c r="AA83" s="104"/>
      <c r="AB83" s="106"/>
      <c r="AC83" s="106"/>
      <c r="AD83" s="105"/>
      <c r="AE83" s="42"/>
    </row>
    <row r="84" spans="1:31" ht="31.5" x14ac:dyDescent="0.3">
      <c r="A84" s="15">
        <v>61</v>
      </c>
      <c r="B84" s="35" t="s">
        <v>115</v>
      </c>
      <c r="C84" s="36"/>
      <c r="D84" s="36"/>
      <c r="E84" s="36"/>
      <c r="F84" s="37">
        <v>648.1</v>
      </c>
      <c r="G84" s="37">
        <v>90</v>
      </c>
      <c r="H84" s="37">
        <v>690</v>
      </c>
      <c r="I84" s="37">
        <v>690</v>
      </c>
      <c r="J84" s="103">
        <f t="shared" si="3"/>
        <v>690</v>
      </c>
      <c r="K84" s="104"/>
      <c r="L84" s="104"/>
      <c r="M84" s="104">
        <v>90</v>
      </c>
      <c r="N84" s="104"/>
      <c r="O84" s="104"/>
      <c r="P84" s="104"/>
      <c r="Q84" s="104"/>
      <c r="R84" s="104">
        <v>600</v>
      </c>
      <c r="S84" s="104"/>
      <c r="T84" s="106"/>
      <c r="U84" s="106"/>
      <c r="V84" s="106"/>
      <c r="W84" s="106"/>
      <c r="X84" s="104"/>
      <c r="Y84" s="104"/>
      <c r="Z84" s="104"/>
      <c r="AA84" s="104"/>
      <c r="AB84" s="106"/>
      <c r="AC84" s="106"/>
      <c r="AD84" s="105"/>
      <c r="AE84" s="42"/>
    </row>
    <row r="85" spans="1:31" ht="24.75" customHeight="1" x14ac:dyDescent="0.3">
      <c r="A85" s="15">
        <v>63</v>
      </c>
      <c r="B85" s="35" t="s">
        <v>116</v>
      </c>
      <c r="C85" s="36"/>
      <c r="D85" s="36"/>
      <c r="E85" s="36"/>
      <c r="F85" s="37"/>
      <c r="G85" s="37"/>
      <c r="H85" s="37"/>
      <c r="I85" s="37">
        <v>490</v>
      </c>
      <c r="J85" s="103">
        <f t="shared" si="3"/>
        <v>236.5</v>
      </c>
      <c r="K85" s="104"/>
      <c r="L85" s="104"/>
      <c r="M85" s="104"/>
      <c r="N85" s="104"/>
      <c r="O85" s="104"/>
      <c r="P85" s="104"/>
      <c r="Q85" s="104"/>
      <c r="R85" s="104"/>
      <c r="S85" s="104">
        <v>195</v>
      </c>
      <c r="T85" s="106">
        <v>41.5</v>
      </c>
      <c r="U85" s="106"/>
      <c r="V85" s="106"/>
      <c r="W85" s="106"/>
      <c r="X85" s="104"/>
      <c r="Y85" s="104"/>
      <c r="Z85" s="104"/>
      <c r="AA85" s="104"/>
      <c r="AB85" s="106"/>
      <c r="AC85" s="106"/>
      <c r="AD85" s="105"/>
      <c r="AE85" s="42"/>
    </row>
    <row r="86" spans="1:31" ht="20.25" x14ac:dyDescent="0.3">
      <c r="A86" s="15">
        <v>64</v>
      </c>
      <c r="B86" s="110" t="s">
        <v>117</v>
      </c>
      <c r="C86" s="36"/>
      <c r="D86" s="36">
        <v>121.3</v>
      </c>
      <c r="E86" s="36">
        <v>116.14</v>
      </c>
      <c r="F86" s="37">
        <v>147.02000000000001</v>
      </c>
      <c r="G86" s="37">
        <v>161.80000000000001</v>
      </c>
      <c r="H86" s="37">
        <v>174.24</v>
      </c>
      <c r="I86" s="37">
        <v>171.7</v>
      </c>
      <c r="J86" s="103">
        <f t="shared" si="3"/>
        <v>198.8</v>
      </c>
      <c r="K86" s="104">
        <v>15</v>
      </c>
      <c r="L86" s="104"/>
      <c r="M86" s="104">
        <v>122</v>
      </c>
      <c r="N86" s="104"/>
      <c r="O86" s="104"/>
      <c r="P86" s="104">
        <v>8</v>
      </c>
      <c r="Q86" s="104"/>
      <c r="R86" s="104">
        <v>34.799999999999997</v>
      </c>
      <c r="S86" s="104"/>
      <c r="T86" s="106"/>
      <c r="U86" s="106"/>
      <c r="V86" s="106"/>
      <c r="W86" s="106"/>
      <c r="X86" s="104">
        <v>19</v>
      </c>
      <c r="Y86" s="104"/>
      <c r="Z86" s="104"/>
      <c r="AA86" s="104"/>
      <c r="AB86" s="106"/>
      <c r="AC86" s="106"/>
      <c r="AD86" s="105"/>
      <c r="AE86" s="42"/>
    </row>
    <row r="87" spans="1:31" ht="20.25" customHeight="1" x14ac:dyDescent="0.3">
      <c r="A87" s="15">
        <v>65</v>
      </c>
      <c r="B87" s="35" t="s">
        <v>118</v>
      </c>
      <c r="C87" s="36"/>
      <c r="D87" s="36">
        <v>45</v>
      </c>
      <c r="E87" s="36">
        <v>65</v>
      </c>
      <c r="F87" s="37">
        <v>125.2</v>
      </c>
      <c r="G87" s="37">
        <v>125</v>
      </c>
      <c r="H87" s="37">
        <v>125</v>
      </c>
      <c r="I87" s="37">
        <v>125.2</v>
      </c>
      <c r="J87" s="103">
        <f t="shared" si="3"/>
        <v>125.2</v>
      </c>
      <c r="K87" s="104"/>
      <c r="L87" s="104"/>
      <c r="M87" s="104">
        <v>125.2</v>
      </c>
      <c r="N87" s="104"/>
      <c r="O87" s="104"/>
      <c r="P87" s="104"/>
      <c r="Q87" s="104"/>
      <c r="R87" s="104"/>
      <c r="S87" s="104"/>
      <c r="T87" s="106"/>
      <c r="U87" s="106"/>
      <c r="V87" s="106"/>
      <c r="W87" s="106"/>
      <c r="X87" s="104"/>
      <c r="Y87" s="104"/>
      <c r="Z87" s="104"/>
      <c r="AA87" s="104"/>
      <c r="AB87" s="106"/>
      <c r="AC87" s="106"/>
      <c r="AD87" s="105"/>
      <c r="AE87" s="42"/>
    </row>
    <row r="88" spans="1:31" ht="31.5" x14ac:dyDescent="0.3">
      <c r="A88" s="15">
        <v>66</v>
      </c>
      <c r="B88" s="35" t="s">
        <v>119</v>
      </c>
      <c r="C88" s="36"/>
      <c r="D88" s="36"/>
      <c r="E88" s="36"/>
      <c r="F88" s="37">
        <v>63.2</v>
      </c>
      <c r="G88" s="37">
        <v>60</v>
      </c>
      <c r="H88" s="37">
        <v>144.76</v>
      </c>
      <c r="I88" s="37">
        <v>216.76</v>
      </c>
      <c r="J88" s="103">
        <f t="shared" si="3"/>
        <v>204.54</v>
      </c>
      <c r="K88" s="104">
        <v>44.64</v>
      </c>
      <c r="L88" s="104"/>
      <c r="M88" s="104">
        <v>116</v>
      </c>
      <c r="N88" s="104"/>
      <c r="O88" s="104"/>
      <c r="P88" s="104">
        <v>4</v>
      </c>
      <c r="Q88" s="104"/>
      <c r="R88" s="104"/>
      <c r="S88" s="104"/>
      <c r="T88" s="106"/>
      <c r="U88" s="106"/>
      <c r="V88" s="106"/>
      <c r="W88" s="106"/>
      <c r="X88" s="104">
        <f>54.9-15</f>
        <v>39.9</v>
      </c>
      <c r="Y88" s="104"/>
      <c r="Z88" s="104"/>
      <c r="AA88" s="104"/>
      <c r="AB88" s="106"/>
      <c r="AC88" s="106"/>
      <c r="AD88" s="105"/>
      <c r="AE88" s="42"/>
    </row>
    <row r="89" spans="1:31" ht="31.5" x14ac:dyDescent="0.3">
      <c r="A89" s="15">
        <v>67</v>
      </c>
      <c r="B89" s="35" t="s">
        <v>120</v>
      </c>
      <c r="C89" s="36"/>
      <c r="D89" s="36">
        <v>90</v>
      </c>
      <c r="E89" s="36">
        <v>72</v>
      </c>
      <c r="F89" s="37">
        <v>213</v>
      </c>
      <c r="G89" s="37">
        <v>150</v>
      </c>
      <c r="H89" s="37">
        <v>260</v>
      </c>
      <c r="I89" s="37">
        <v>300</v>
      </c>
      <c r="J89" s="103">
        <f t="shared" si="3"/>
        <v>325</v>
      </c>
      <c r="K89" s="104">
        <v>15</v>
      </c>
      <c r="L89" s="104"/>
      <c r="M89" s="104">
        <v>300</v>
      </c>
      <c r="N89" s="104"/>
      <c r="O89" s="104"/>
      <c r="P89" s="104">
        <v>10</v>
      </c>
      <c r="Q89" s="104"/>
      <c r="R89" s="104"/>
      <c r="S89" s="104"/>
      <c r="T89" s="106"/>
      <c r="U89" s="106"/>
      <c r="V89" s="106"/>
      <c r="W89" s="106"/>
      <c r="X89" s="104"/>
      <c r="Y89" s="104"/>
      <c r="Z89" s="104"/>
      <c r="AA89" s="104"/>
      <c r="AB89" s="106"/>
      <c r="AC89" s="106"/>
      <c r="AD89" s="105"/>
      <c r="AE89" s="42"/>
    </row>
    <row r="90" spans="1:31" ht="20.25" x14ac:dyDescent="0.3">
      <c r="A90" s="15">
        <v>68</v>
      </c>
      <c r="B90" s="35" t="s">
        <v>121</v>
      </c>
      <c r="C90" s="36"/>
      <c r="D90" s="36">
        <v>150</v>
      </c>
      <c r="E90" s="36">
        <v>253.25</v>
      </c>
      <c r="F90" s="37">
        <v>130</v>
      </c>
      <c r="G90" s="37">
        <v>80</v>
      </c>
      <c r="H90" s="37">
        <v>60</v>
      </c>
      <c r="I90" s="37">
        <v>120</v>
      </c>
      <c r="J90" s="103">
        <f t="shared" si="3"/>
        <v>123.8</v>
      </c>
      <c r="K90" s="104"/>
      <c r="L90" s="104">
        <v>25</v>
      </c>
      <c r="M90" s="104">
        <v>90</v>
      </c>
      <c r="N90" s="104"/>
      <c r="O90" s="104"/>
      <c r="P90" s="104">
        <v>5</v>
      </c>
      <c r="Q90" s="104"/>
      <c r="R90" s="104"/>
      <c r="S90" s="104"/>
      <c r="T90" s="104"/>
      <c r="U90" s="106"/>
      <c r="V90" s="106"/>
      <c r="W90" s="104"/>
      <c r="X90" s="104"/>
      <c r="Y90" s="104"/>
      <c r="Z90" s="104"/>
      <c r="AA90" s="104"/>
      <c r="AB90" s="104"/>
      <c r="AC90" s="104"/>
      <c r="AD90" s="105">
        <v>3.8</v>
      </c>
      <c r="AE90" s="42"/>
    </row>
    <row r="91" spans="1:31" ht="78.75" x14ac:dyDescent="0.3">
      <c r="A91" s="15">
        <v>69</v>
      </c>
      <c r="B91" s="35" t="s">
        <v>122</v>
      </c>
      <c r="C91" s="36"/>
      <c r="D91" s="36"/>
      <c r="E91" s="36"/>
      <c r="F91" s="37"/>
      <c r="G91" s="37"/>
      <c r="H91" s="37"/>
      <c r="I91" s="37"/>
      <c r="J91" s="103">
        <f t="shared" si="3"/>
        <v>1347.4</v>
      </c>
      <c r="K91" s="104"/>
      <c r="L91" s="104">
        <f>604.8</f>
        <v>604.79999999999995</v>
      </c>
      <c r="M91" s="104">
        <f>2694.8/2-604.8</f>
        <v>742.60000000000014</v>
      </c>
      <c r="N91" s="104"/>
      <c r="O91" s="104"/>
      <c r="P91" s="104"/>
      <c r="Q91" s="104"/>
      <c r="R91" s="104"/>
      <c r="S91" s="104"/>
      <c r="T91" s="106"/>
      <c r="U91" s="106"/>
      <c r="V91" s="106"/>
      <c r="W91" s="106"/>
      <c r="X91" s="104"/>
      <c r="Y91" s="104"/>
      <c r="Z91" s="104"/>
      <c r="AA91" s="104"/>
      <c r="AB91" s="106"/>
      <c r="AC91" s="106"/>
      <c r="AD91" s="105"/>
      <c r="AE91" s="42"/>
    </row>
    <row r="92" spans="1:31" ht="31.5" x14ac:dyDescent="0.3">
      <c r="A92" s="15">
        <v>70</v>
      </c>
      <c r="B92" s="35" t="s">
        <v>123</v>
      </c>
      <c r="C92" s="36"/>
      <c r="D92" s="36">
        <v>178</v>
      </c>
      <c r="E92" s="36">
        <v>278</v>
      </c>
      <c r="F92" s="37">
        <v>175.46</v>
      </c>
      <c r="G92" s="37">
        <v>120</v>
      </c>
      <c r="H92" s="37">
        <v>274.14999999999998</v>
      </c>
      <c r="I92" s="37">
        <v>339.43</v>
      </c>
      <c r="J92" s="103">
        <f t="shared" si="3"/>
        <v>340.4</v>
      </c>
      <c r="K92" s="104">
        <v>340.4</v>
      </c>
      <c r="L92" s="104"/>
      <c r="M92" s="104"/>
      <c r="N92" s="104"/>
      <c r="O92" s="104"/>
      <c r="P92" s="104"/>
      <c r="Q92" s="104"/>
      <c r="R92" s="104"/>
      <c r="S92" s="104"/>
      <c r="T92" s="106"/>
      <c r="U92" s="106"/>
      <c r="V92" s="106"/>
      <c r="W92" s="106"/>
      <c r="X92" s="104"/>
      <c r="Y92" s="104"/>
      <c r="Z92" s="104"/>
      <c r="AA92" s="104"/>
      <c r="AB92" s="106"/>
      <c r="AC92" s="106"/>
      <c r="AD92" s="105"/>
      <c r="AE92" s="42"/>
    </row>
    <row r="93" spans="1:31" ht="31.5" x14ac:dyDescent="0.3">
      <c r="A93" s="15">
        <v>71</v>
      </c>
      <c r="B93" s="35" t="s">
        <v>124</v>
      </c>
      <c r="C93" s="36"/>
      <c r="D93" s="36">
        <v>196.7</v>
      </c>
      <c r="E93" s="36">
        <v>93</v>
      </c>
      <c r="F93" s="37">
        <v>328.62</v>
      </c>
      <c r="G93" s="37">
        <v>500</v>
      </c>
      <c r="H93" s="37">
        <v>720.73</v>
      </c>
      <c r="I93" s="37">
        <v>735.63</v>
      </c>
      <c r="J93" s="103">
        <f t="shared" si="3"/>
        <v>1050</v>
      </c>
      <c r="K93" s="104"/>
      <c r="L93" s="104"/>
      <c r="M93" s="104"/>
      <c r="N93" s="104"/>
      <c r="O93" s="104"/>
      <c r="P93" s="104"/>
      <c r="Q93" s="104"/>
      <c r="R93" s="104">
        <v>1050</v>
      </c>
      <c r="S93" s="104"/>
      <c r="T93" s="106"/>
      <c r="U93" s="106"/>
      <c r="V93" s="106"/>
      <c r="W93" s="106"/>
      <c r="X93" s="104"/>
      <c r="Y93" s="104"/>
      <c r="Z93" s="104"/>
      <c r="AA93" s="104"/>
      <c r="AB93" s="106"/>
      <c r="AC93" s="106"/>
      <c r="AD93" s="105"/>
      <c r="AE93" s="42"/>
    </row>
    <row r="94" spans="1:31" ht="51.75" customHeight="1" thickBot="1" x14ac:dyDescent="0.35">
      <c r="A94" s="15">
        <v>72</v>
      </c>
      <c r="B94" s="35" t="s">
        <v>125</v>
      </c>
      <c r="C94" s="36"/>
      <c r="D94" s="36"/>
      <c r="E94" s="36"/>
      <c r="F94" s="37">
        <v>220</v>
      </c>
      <c r="G94" s="37">
        <v>220</v>
      </c>
      <c r="H94" s="37">
        <v>500</v>
      </c>
      <c r="I94" s="37">
        <v>500</v>
      </c>
      <c r="J94" s="111">
        <f t="shared" si="3"/>
        <v>408</v>
      </c>
      <c r="K94" s="104">
        <v>300</v>
      </c>
      <c r="L94" s="104"/>
      <c r="M94" s="104"/>
      <c r="N94" s="104"/>
      <c r="O94" s="104"/>
      <c r="P94" s="104"/>
      <c r="Q94" s="104"/>
      <c r="R94" s="104"/>
      <c r="S94" s="104"/>
      <c r="T94" s="106"/>
      <c r="U94" s="106">
        <v>108</v>
      </c>
      <c r="V94" s="106"/>
      <c r="W94" s="106"/>
      <c r="X94" s="104"/>
      <c r="Y94" s="104"/>
      <c r="Z94" s="104"/>
      <c r="AA94" s="104"/>
      <c r="AB94" s="106"/>
      <c r="AC94" s="106"/>
      <c r="AD94" s="112"/>
      <c r="AE94" s="42"/>
    </row>
    <row r="95" spans="1:31" s="122" customFormat="1" ht="32.25" thickBot="1" x14ac:dyDescent="0.35">
      <c r="A95" s="113">
        <v>73</v>
      </c>
      <c r="B95" s="114" t="s">
        <v>126</v>
      </c>
      <c r="C95" s="115"/>
      <c r="D95" s="116" t="e">
        <f>SUM(D8:D94)-#REF!</f>
        <v>#REF!</v>
      </c>
      <c r="E95" s="116" t="e">
        <f>SUM(E8:E94)-#REF!</f>
        <v>#REF!</v>
      </c>
      <c r="F95" s="116">
        <f>SUM(F8:F94)</f>
        <v>147655.01999999999</v>
      </c>
      <c r="G95" s="116">
        <f>SUM(G8:G94)</f>
        <v>177380.95999999996</v>
      </c>
      <c r="H95" s="116">
        <f>SUM(H24:H94)</f>
        <v>466534.15999999992</v>
      </c>
      <c r="I95" s="117"/>
      <c r="J95" s="118">
        <f>SUM(K95:AD95)</f>
        <v>309120.68805000006</v>
      </c>
      <c r="K95" s="119">
        <f>SUM(K26:K94)-K29-K27-K28</f>
        <v>7259.4407999999994</v>
      </c>
      <c r="L95" s="119">
        <f>SUM(L26:L94)-L29-L27-L28</f>
        <v>29131.823600000011</v>
      </c>
      <c r="M95" s="119">
        <f>SUM(M26:M94)-M29-M27-M28</f>
        <v>97137.346400000024</v>
      </c>
      <c r="N95" s="119">
        <f>SUM(N26:N94)-N29-N27-N28</f>
        <v>3901.1759999999999</v>
      </c>
      <c r="O95" s="119">
        <f>SUM(O26:O94)-O29-O27-O28</f>
        <v>4310.3396759999996</v>
      </c>
      <c r="P95" s="119">
        <f>SUM(P26:P94)-P29-P27-P28</f>
        <v>18035.766399999997</v>
      </c>
      <c r="Q95" s="119">
        <f>SUM(Q26:Q94)-Q29-Q27-Q28</f>
        <v>10400.158600000001</v>
      </c>
      <c r="R95" s="119">
        <f>SUM(R26:R94)-R29-R27-R28</f>
        <v>49385.603574000001</v>
      </c>
      <c r="S95" s="119">
        <f>SUM(S26:S94)-S29-S27-S28</f>
        <v>2096.9948000000004</v>
      </c>
      <c r="T95" s="119">
        <f>SUM(T26:T94)-T29-T27-T28</f>
        <v>7843.8024000000005</v>
      </c>
      <c r="U95" s="119">
        <f>SUM(U26:U94)-U29-U27-U28</f>
        <v>3823.0469999999996</v>
      </c>
      <c r="V95" s="119">
        <f>SUM(V26:V94)-V29-V27-V28</f>
        <v>12973.591799999998</v>
      </c>
      <c r="W95" s="119">
        <f>SUM(W26:W94)-W29-W27-W28</f>
        <v>1734.5056</v>
      </c>
      <c r="X95" s="119">
        <f>SUM(X26:X94)-X29-X27-X28</f>
        <v>6091.3662000000004</v>
      </c>
      <c r="Y95" s="119">
        <f>SUM(Y26:Y94)-Y29-Y27-Y28</f>
        <v>81.5</v>
      </c>
      <c r="Z95" s="119">
        <f>SUM(Z26:Z94)-Z29-Z27-Z28</f>
        <v>27840.275799999992</v>
      </c>
      <c r="AA95" s="119">
        <f>SUM(AA26:AA94)-AA29-AA27-AA28</f>
        <v>15819.809400000007</v>
      </c>
      <c r="AB95" s="119">
        <f>SUM(AB26:AB94)-AB29-AB27-AB28</f>
        <v>0</v>
      </c>
      <c r="AC95" s="119">
        <f>SUM(AC26:AC94)-AC29-AC27-AC28</f>
        <v>0</v>
      </c>
      <c r="AD95" s="120">
        <f>SUM(AD26:AD94)-AD29</f>
        <v>11254.14</v>
      </c>
      <c r="AE95" s="121"/>
    </row>
    <row r="96" spans="1:31" ht="31.5" x14ac:dyDescent="0.3">
      <c r="A96" s="15">
        <v>74</v>
      </c>
      <c r="B96" s="123" t="s">
        <v>127</v>
      </c>
      <c r="C96" s="124"/>
      <c r="D96" s="124"/>
      <c r="E96" s="124"/>
      <c r="F96" s="38"/>
      <c r="G96" s="38"/>
      <c r="H96" s="38">
        <v>0</v>
      </c>
      <c r="I96" s="38">
        <f>527.5+647.5</f>
        <v>1175</v>
      </c>
      <c r="J96" s="125">
        <f t="shared" si="3"/>
        <v>902.5</v>
      </c>
      <c r="K96" s="126"/>
      <c r="L96" s="126">
        <v>40</v>
      </c>
      <c r="M96" s="126">
        <v>825</v>
      </c>
      <c r="N96" s="126"/>
      <c r="O96" s="126"/>
      <c r="P96" s="126">
        <v>37.5</v>
      </c>
      <c r="Q96" s="126"/>
      <c r="R96" s="104"/>
      <c r="S96" s="126"/>
      <c r="T96" s="126"/>
      <c r="U96" s="127"/>
      <c r="V96" s="127"/>
      <c r="W96" s="126"/>
      <c r="X96" s="126"/>
      <c r="Y96" s="126"/>
      <c r="Z96" s="126"/>
      <c r="AA96" s="126"/>
      <c r="AB96" s="126"/>
      <c r="AC96" s="126"/>
      <c r="AD96" s="128"/>
      <c r="AE96" s="42"/>
    </row>
    <row r="97" spans="1:32" ht="78.75" x14ac:dyDescent="0.3">
      <c r="A97" s="15">
        <v>75</v>
      </c>
      <c r="B97" s="35" t="s">
        <v>128</v>
      </c>
      <c r="C97" s="36"/>
      <c r="D97" s="36"/>
      <c r="E97" s="36"/>
      <c r="F97" s="37"/>
      <c r="G97" s="37"/>
      <c r="H97" s="37">
        <v>194</v>
      </c>
      <c r="I97" s="38">
        <v>98.4</v>
      </c>
      <c r="J97" s="103">
        <f t="shared" si="3"/>
        <v>111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6"/>
      <c r="U97" s="106">
        <v>111</v>
      </c>
      <c r="V97" s="106"/>
      <c r="W97" s="106"/>
      <c r="X97" s="104"/>
      <c r="Y97" s="104"/>
      <c r="Z97" s="104"/>
      <c r="AA97" s="104"/>
      <c r="AB97" s="106"/>
      <c r="AC97" s="106"/>
      <c r="AD97" s="105"/>
      <c r="AE97" s="42"/>
    </row>
    <row r="98" spans="1:32" ht="20.25" x14ac:dyDescent="0.3">
      <c r="A98" s="15">
        <v>76</v>
      </c>
      <c r="B98" s="35" t="s">
        <v>129</v>
      </c>
      <c r="C98" s="36"/>
      <c r="D98" s="36">
        <v>100</v>
      </c>
      <c r="E98" s="36">
        <v>306</v>
      </c>
      <c r="F98" s="37">
        <v>306</v>
      </c>
      <c r="G98" s="37">
        <v>282</v>
      </c>
      <c r="H98" s="37">
        <v>324</v>
      </c>
      <c r="I98" s="38">
        <v>324</v>
      </c>
      <c r="J98" s="103">
        <f t="shared" si="3"/>
        <v>324</v>
      </c>
      <c r="K98" s="104"/>
      <c r="L98" s="104"/>
      <c r="M98" s="104"/>
      <c r="N98" s="104"/>
      <c r="O98" s="104"/>
      <c r="P98" s="104"/>
      <c r="Q98" s="104"/>
      <c r="R98" s="104">
        <v>324</v>
      </c>
      <c r="S98" s="104"/>
      <c r="T98" s="104"/>
      <c r="U98" s="106"/>
      <c r="V98" s="106"/>
      <c r="W98" s="104"/>
      <c r="X98" s="104"/>
      <c r="Y98" s="104"/>
      <c r="Z98" s="104"/>
      <c r="AA98" s="104"/>
      <c r="AB98" s="104"/>
      <c r="AC98" s="104"/>
      <c r="AD98" s="105"/>
      <c r="AE98" s="42"/>
      <c r="AF98" s="129"/>
    </row>
    <row r="99" spans="1:32" ht="78.75" x14ac:dyDescent="0.3">
      <c r="A99" s="15">
        <v>77</v>
      </c>
      <c r="B99" s="35" t="s">
        <v>130</v>
      </c>
      <c r="C99" s="36"/>
      <c r="D99" s="36">
        <v>100</v>
      </c>
      <c r="E99" s="36">
        <v>120</v>
      </c>
      <c r="F99" s="37">
        <v>120</v>
      </c>
      <c r="G99" s="37">
        <v>60</v>
      </c>
      <c r="H99" s="37">
        <v>250</v>
      </c>
      <c r="I99" s="38">
        <v>250</v>
      </c>
      <c r="J99" s="103">
        <f t="shared" si="3"/>
        <v>545.38900000000001</v>
      </c>
      <c r="K99" s="104"/>
      <c r="L99" s="104">
        <v>65.649000000000001</v>
      </c>
      <c r="M99" s="104">
        <v>380</v>
      </c>
      <c r="N99" s="104"/>
      <c r="O99" s="104"/>
      <c r="P99" s="104">
        <v>40</v>
      </c>
      <c r="Q99" s="104"/>
      <c r="R99" s="104"/>
      <c r="S99" s="104"/>
      <c r="T99" s="106"/>
      <c r="U99" s="106"/>
      <c r="V99" s="106"/>
      <c r="W99" s="106"/>
      <c r="X99" s="104"/>
      <c r="Y99" s="104"/>
      <c r="Z99" s="104"/>
      <c r="AA99" s="104">
        <f>113.6-57</f>
        <v>56.599999999999994</v>
      </c>
      <c r="AB99" s="106"/>
      <c r="AC99" s="106"/>
      <c r="AD99" s="105">
        <f>0.56+0.48+1.2+0.9</f>
        <v>3.14</v>
      </c>
      <c r="AE99" s="42"/>
    </row>
    <row r="100" spans="1:32" ht="20.25" x14ac:dyDescent="0.3">
      <c r="A100" s="15">
        <v>78</v>
      </c>
      <c r="B100" s="35" t="s">
        <v>131</v>
      </c>
      <c r="C100" s="36"/>
      <c r="D100" s="36"/>
      <c r="E100" s="36"/>
      <c r="F100" s="37"/>
      <c r="G100" s="37"/>
      <c r="H100" s="37"/>
      <c r="I100" s="38"/>
      <c r="J100" s="103">
        <f t="shared" si="3"/>
        <v>42</v>
      </c>
      <c r="K100" s="104"/>
      <c r="L100" s="104"/>
      <c r="M100" s="104"/>
      <c r="N100" s="104"/>
      <c r="O100" s="104"/>
      <c r="P100" s="104"/>
      <c r="Q100" s="104"/>
      <c r="R100" s="104"/>
      <c r="S100" s="104"/>
      <c r="T100" s="106"/>
      <c r="U100" s="106"/>
      <c r="V100" s="106"/>
      <c r="W100" s="106"/>
      <c r="X100" s="104"/>
      <c r="Y100" s="104"/>
      <c r="Z100" s="104"/>
      <c r="AA100" s="104">
        <f>57-15</f>
        <v>42</v>
      </c>
      <c r="AB100" s="106"/>
      <c r="AC100" s="106"/>
      <c r="AD100" s="105"/>
      <c r="AE100" s="42"/>
    </row>
    <row r="101" spans="1:32" ht="31.5" x14ac:dyDescent="0.3">
      <c r="A101" s="15">
        <v>79</v>
      </c>
      <c r="B101" s="35" t="s">
        <v>132</v>
      </c>
      <c r="C101" s="36"/>
      <c r="D101" s="36">
        <v>176.3</v>
      </c>
      <c r="E101" s="36">
        <v>292</v>
      </c>
      <c r="F101" s="37">
        <v>940</v>
      </c>
      <c r="G101" s="37">
        <v>0</v>
      </c>
      <c r="H101" s="37">
        <v>2150</v>
      </c>
      <c r="I101" s="38">
        <v>1724.28</v>
      </c>
      <c r="J101" s="103">
        <f t="shared" si="3"/>
        <v>1154.9000000000001</v>
      </c>
      <c r="K101" s="104"/>
      <c r="L101" s="104">
        <f>465-100</f>
        <v>365</v>
      </c>
      <c r="M101" s="104">
        <f>928.2-294</f>
        <v>634.20000000000005</v>
      </c>
      <c r="N101" s="104"/>
      <c r="O101" s="104"/>
      <c r="P101" s="104">
        <v>35</v>
      </c>
      <c r="Q101" s="104"/>
      <c r="R101" s="104"/>
      <c r="S101" s="104"/>
      <c r="T101" s="106">
        <v>25</v>
      </c>
      <c r="U101" s="106"/>
      <c r="V101" s="106"/>
      <c r="W101" s="106"/>
      <c r="X101" s="104">
        <f>450.3-400</f>
        <v>50.300000000000011</v>
      </c>
      <c r="Y101" s="104"/>
      <c r="Z101" s="104"/>
      <c r="AA101" s="104"/>
      <c r="AB101" s="106"/>
      <c r="AC101" s="106"/>
      <c r="AD101" s="105">
        <v>45.4</v>
      </c>
      <c r="AE101" s="42"/>
    </row>
    <row r="102" spans="1:32" ht="40.5" customHeight="1" x14ac:dyDescent="0.3">
      <c r="A102" s="15">
        <v>80</v>
      </c>
      <c r="B102" s="35" t="s">
        <v>133</v>
      </c>
      <c r="C102" s="36"/>
      <c r="D102" s="36"/>
      <c r="E102" s="36"/>
      <c r="F102" s="37"/>
      <c r="G102" s="37"/>
      <c r="H102" s="37"/>
      <c r="I102" s="38"/>
      <c r="J102" s="103">
        <f t="shared" si="3"/>
        <v>2107.52</v>
      </c>
      <c r="K102" s="104"/>
      <c r="L102" s="104"/>
      <c r="M102" s="104"/>
      <c r="N102" s="104"/>
      <c r="O102" s="104"/>
      <c r="P102" s="104"/>
      <c r="Q102" s="104"/>
      <c r="R102" s="104"/>
      <c r="S102" s="104"/>
      <c r="T102" s="106"/>
      <c r="U102" s="106"/>
      <c r="V102" s="106"/>
      <c r="W102" s="106"/>
      <c r="X102" s="104"/>
      <c r="Y102" s="104"/>
      <c r="Z102" s="104"/>
      <c r="AA102" s="104">
        <f>(2096.6+300+1807.52)-2096.6</f>
        <v>2107.52</v>
      </c>
      <c r="AB102" s="106"/>
      <c r="AC102" s="106"/>
      <c r="AD102" s="105"/>
      <c r="AE102" s="42"/>
    </row>
    <row r="103" spans="1:32" ht="47.25" x14ac:dyDescent="0.3">
      <c r="A103" s="15">
        <v>81</v>
      </c>
      <c r="B103" s="35" t="s">
        <v>134</v>
      </c>
      <c r="C103" s="36"/>
      <c r="D103" s="36"/>
      <c r="E103" s="36"/>
      <c r="F103" s="37"/>
      <c r="G103" s="37"/>
      <c r="H103" s="37"/>
      <c r="I103" s="38"/>
      <c r="J103" s="103">
        <f t="shared" si="3"/>
        <v>500</v>
      </c>
      <c r="K103" s="104"/>
      <c r="L103" s="104"/>
      <c r="M103" s="104"/>
      <c r="N103" s="104"/>
      <c r="O103" s="104"/>
      <c r="P103" s="104"/>
      <c r="Q103" s="104"/>
      <c r="R103" s="104">
        <v>500</v>
      </c>
      <c r="S103" s="104"/>
      <c r="T103" s="106"/>
      <c r="U103" s="106"/>
      <c r="V103" s="106"/>
      <c r="W103" s="106"/>
      <c r="X103" s="104"/>
      <c r="Y103" s="104"/>
      <c r="Z103" s="104"/>
      <c r="AA103" s="104"/>
      <c r="AB103" s="106"/>
      <c r="AC103" s="106"/>
      <c r="AD103" s="105"/>
      <c r="AE103" s="42"/>
    </row>
    <row r="104" spans="1:32" ht="31.5" x14ac:dyDescent="0.3">
      <c r="A104" s="15">
        <v>82</v>
      </c>
      <c r="B104" s="35" t="s">
        <v>135</v>
      </c>
      <c r="C104" s="36"/>
      <c r="D104" s="36"/>
      <c r="E104" s="36"/>
      <c r="F104" s="37"/>
      <c r="G104" s="37"/>
      <c r="H104" s="37"/>
      <c r="I104" s="38"/>
      <c r="J104" s="103">
        <f t="shared" si="3"/>
        <v>600</v>
      </c>
      <c r="K104" s="104"/>
      <c r="L104" s="104"/>
      <c r="M104" s="104"/>
      <c r="N104" s="104"/>
      <c r="O104" s="104"/>
      <c r="P104" s="104"/>
      <c r="Q104" s="104"/>
      <c r="R104" s="104"/>
      <c r="S104" s="104"/>
      <c r="T104" s="106"/>
      <c r="U104" s="106"/>
      <c r="V104" s="106">
        <v>600</v>
      </c>
      <c r="W104" s="106"/>
      <c r="X104" s="104"/>
      <c r="Y104" s="104"/>
      <c r="Z104" s="104"/>
      <c r="AA104" s="104"/>
      <c r="AB104" s="106"/>
      <c r="AC104" s="106"/>
      <c r="AD104" s="105"/>
      <c r="AE104" s="42"/>
    </row>
    <row r="105" spans="1:32" ht="54.75" customHeight="1" x14ac:dyDescent="0.3">
      <c r="A105" s="15">
        <v>83</v>
      </c>
      <c r="B105" s="35" t="s">
        <v>136</v>
      </c>
      <c r="C105" s="36"/>
      <c r="D105" s="36"/>
      <c r="E105" s="36"/>
      <c r="F105" s="37"/>
      <c r="G105" s="37"/>
      <c r="H105" s="37"/>
      <c r="I105" s="38"/>
      <c r="J105" s="103">
        <f t="shared" si="3"/>
        <v>300</v>
      </c>
      <c r="K105" s="104"/>
      <c r="L105" s="104"/>
      <c r="M105" s="104"/>
      <c r="N105" s="104"/>
      <c r="O105" s="104"/>
      <c r="P105" s="104"/>
      <c r="Q105" s="104"/>
      <c r="R105" s="104">
        <v>300</v>
      </c>
      <c r="S105" s="104"/>
      <c r="T105" s="106"/>
      <c r="U105" s="106"/>
      <c r="V105" s="106"/>
      <c r="W105" s="106"/>
      <c r="X105" s="104"/>
      <c r="Y105" s="104"/>
      <c r="Z105" s="104"/>
      <c r="AA105" s="104"/>
      <c r="AB105" s="106"/>
      <c r="AC105" s="106"/>
      <c r="AD105" s="105"/>
      <c r="AE105" s="42"/>
    </row>
    <row r="106" spans="1:32" ht="63" x14ac:dyDescent="0.3">
      <c r="A106" s="15">
        <v>84</v>
      </c>
      <c r="B106" s="35" t="s">
        <v>137</v>
      </c>
      <c r="C106" s="36"/>
      <c r="D106" s="36"/>
      <c r="E106" s="36"/>
      <c r="F106" s="37"/>
      <c r="G106" s="37"/>
      <c r="H106" s="37"/>
      <c r="I106" s="38"/>
      <c r="J106" s="103">
        <f t="shared" si="3"/>
        <v>135</v>
      </c>
      <c r="K106" s="104"/>
      <c r="L106" s="104"/>
      <c r="M106" s="104"/>
      <c r="N106" s="104"/>
      <c r="O106" s="104"/>
      <c r="P106" s="104"/>
      <c r="Q106" s="104"/>
      <c r="R106" s="104">
        <v>135</v>
      </c>
      <c r="S106" s="104"/>
      <c r="T106" s="106"/>
      <c r="U106" s="106"/>
      <c r="V106" s="106"/>
      <c r="W106" s="106"/>
      <c r="X106" s="104"/>
      <c r="Y106" s="104"/>
      <c r="Z106" s="104"/>
      <c r="AA106" s="104"/>
      <c r="AB106" s="106"/>
      <c r="AC106" s="106"/>
      <c r="AD106" s="105"/>
      <c r="AE106" s="42"/>
    </row>
    <row r="107" spans="1:32" ht="50.25" customHeight="1" x14ac:dyDescent="0.3">
      <c r="A107" s="15">
        <v>85</v>
      </c>
      <c r="B107" s="35" t="s">
        <v>138</v>
      </c>
      <c r="C107" s="36"/>
      <c r="D107" s="36"/>
      <c r="E107" s="36">
        <v>625</v>
      </c>
      <c r="F107" s="37"/>
      <c r="G107" s="37">
        <v>0</v>
      </c>
      <c r="H107" s="37">
        <v>1292.2</v>
      </c>
      <c r="I107" s="38">
        <v>1523.1</v>
      </c>
      <c r="J107" s="103">
        <f t="shared" si="3"/>
        <v>182.29999999999998</v>
      </c>
      <c r="K107" s="104"/>
      <c r="L107" s="104"/>
      <c r="M107" s="104"/>
      <c r="N107" s="104"/>
      <c r="O107" s="104"/>
      <c r="P107" s="104"/>
      <c r="Q107" s="104"/>
      <c r="R107" s="104"/>
      <c r="S107" s="104"/>
      <c r="T107" s="106"/>
      <c r="U107" s="106">
        <v>45.6</v>
      </c>
      <c r="V107" s="106"/>
      <c r="W107" s="106"/>
      <c r="X107" s="104"/>
      <c r="Y107" s="104"/>
      <c r="Z107" s="104"/>
      <c r="AA107" s="104"/>
      <c r="AB107" s="106"/>
      <c r="AC107" s="106"/>
      <c r="AD107" s="105">
        <v>136.69999999999999</v>
      </c>
      <c r="AE107" s="42"/>
    </row>
    <row r="108" spans="1:32" ht="31.5" x14ac:dyDescent="0.3">
      <c r="A108" s="15">
        <v>87</v>
      </c>
      <c r="B108" s="35" t="s">
        <v>139</v>
      </c>
      <c r="C108" s="36"/>
      <c r="D108" s="36">
        <v>184.41</v>
      </c>
      <c r="E108" s="36">
        <v>217.56</v>
      </c>
      <c r="F108" s="37">
        <v>266.01</v>
      </c>
      <c r="G108" s="37">
        <v>149.5</v>
      </c>
      <c r="H108" s="37">
        <v>207.4</v>
      </c>
      <c r="I108" s="38">
        <v>274.36</v>
      </c>
      <c r="J108" s="103">
        <f t="shared" si="3"/>
        <v>252.55</v>
      </c>
      <c r="K108" s="104">
        <v>15</v>
      </c>
      <c r="L108" s="104">
        <v>8</v>
      </c>
      <c r="M108" s="104">
        <v>109.3</v>
      </c>
      <c r="N108" s="104"/>
      <c r="O108" s="104"/>
      <c r="P108" s="104">
        <v>5</v>
      </c>
      <c r="Q108" s="104">
        <v>15.75</v>
      </c>
      <c r="R108" s="104"/>
      <c r="S108" s="104"/>
      <c r="T108" s="106">
        <v>60</v>
      </c>
      <c r="U108" s="106"/>
      <c r="V108" s="106"/>
      <c r="W108" s="106"/>
      <c r="X108" s="104">
        <f>12.6</f>
        <v>12.6</v>
      </c>
      <c r="Y108" s="104">
        <f>1</f>
        <v>1</v>
      </c>
      <c r="Z108" s="104"/>
      <c r="AA108" s="104">
        <v>17.5</v>
      </c>
      <c r="AB108" s="106"/>
      <c r="AC108" s="106"/>
      <c r="AD108" s="105">
        <v>8.4</v>
      </c>
      <c r="AE108" s="42"/>
    </row>
    <row r="109" spans="1:32" ht="31.5" x14ac:dyDescent="0.3">
      <c r="A109" s="15">
        <v>88</v>
      </c>
      <c r="B109" s="35" t="s">
        <v>140</v>
      </c>
      <c r="C109" s="36"/>
      <c r="D109" s="36">
        <v>145.9</v>
      </c>
      <c r="E109" s="36">
        <v>146.16999999999999</v>
      </c>
      <c r="F109" s="37">
        <v>167.7</v>
      </c>
      <c r="G109" s="37">
        <v>0</v>
      </c>
      <c r="H109" s="37">
        <v>232.6</v>
      </c>
      <c r="I109" s="38">
        <v>174.6</v>
      </c>
      <c r="J109" s="103">
        <f t="shared" si="3"/>
        <v>600</v>
      </c>
      <c r="K109" s="104">
        <v>28</v>
      </c>
      <c r="L109" s="104"/>
      <c r="M109" s="104">
        <f>140-25</f>
        <v>115</v>
      </c>
      <c r="N109" s="104"/>
      <c r="O109" s="104"/>
      <c r="P109" s="104">
        <v>10</v>
      </c>
      <c r="Q109" s="104"/>
      <c r="R109" s="104"/>
      <c r="S109" s="104"/>
      <c r="T109" s="104">
        <f>432</f>
        <v>432</v>
      </c>
      <c r="U109" s="104"/>
      <c r="V109" s="106"/>
      <c r="W109" s="106"/>
      <c r="X109" s="104">
        <v>15</v>
      </c>
      <c r="Y109" s="104"/>
      <c r="Z109" s="104"/>
      <c r="AA109" s="104"/>
      <c r="AB109" s="106"/>
      <c r="AC109" s="106"/>
      <c r="AD109" s="105"/>
      <c r="AE109" s="42"/>
    </row>
    <row r="110" spans="1:32" ht="31.5" x14ac:dyDescent="0.3">
      <c r="A110" s="15">
        <v>89</v>
      </c>
      <c r="B110" s="35" t="s">
        <v>141</v>
      </c>
      <c r="C110" s="36"/>
      <c r="D110" s="36">
        <v>195</v>
      </c>
      <c r="E110" s="36">
        <v>195</v>
      </c>
      <c r="F110" s="37">
        <v>199.8</v>
      </c>
      <c r="G110" s="37">
        <v>0</v>
      </c>
      <c r="H110" s="37">
        <v>4.5</v>
      </c>
      <c r="I110" s="38">
        <v>184.8</v>
      </c>
      <c r="J110" s="103">
        <f t="shared" si="3"/>
        <v>226</v>
      </c>
      <c r="K110" s="104"/>
      <c r="L110" s="104"/>
      <c r="M110" s="104"/>
      <c r="N110" s="104"/>
      <c r="O110" s="104"/>
      <c r="P110" s="104"/>
      <c r="Q110" s="104"/>
      <c r="R110" s="104"/>
      <c r="S110" s="104"/>
      <c r="T110" s="106"/>
      <c r="U110" s="106"/>
      <c r="V110" s="106"/>
      <c r="W110" s="106"/>
      <c r="X110" s="104">
        <f>276-50</f>
        <v>226</v>
      </c>
      <c r="Y110" s="104"/>
      <c r="Z110" s="104"/>
      <c r="AA110" s="104"/>
      <c r="AB110" s="106"/>
      <c r="AC110" s="106"/>
      <c r="AD110" s="105"/>
      <c r="AE110" s="42"/>
    </row>
    <row r="111" spans="1:32" ht="63" hidden="1" x14ac:dyDescent="0.3">
      <c r="A111" s="15">
        <v>90</v>
      </c>
      <c r="B111" s="35" t="s">
        <v>142</v>
      </c>
      <c r="C111" s="36"/>
      <c r="D111" s="36"/>
      <c r="E111" s="36">
        <v>150</v>
      </c>
      <c r="F111" s="37">
        <v>250</v>
      </c>
      <c r="G111" s="37">
        <v>0</v>
      </c>
      <c r="H111" s="37">
        <v>0</v>
      </c>
      <c r="I111" s="38">
        <v>250</v>
      </c>
      <c r="J111" s="103">
        <f t="shared" si="3"/>
        <v>0</v>
      </c>
      <c r="K111" s="104"/>
      <c r="L111" s="104"/>
      <c r="M111" s="104"/>
      <c r="N111" s="104"/>
      <c r="O111" s="104"/>
      <c r="P111" s="104"/>
      <c r="Q111" s="104"/>
      <c r="R111" s="104"/>
      <c r="S111" s="104"/>
      <c r="T111" s="106"/>
      <c r="U111" s="106"/>
      <c r="V111" s="106"/>
      <c r="W111" s="106"/>
      <c r="X111" s="104"/>
      <c r="Y111" s="104"/>
      <c r="Z111" s="104"/>
      <c r="AA111" s="104"/>
      <c r="AB111" s="106"/>
      <c r="AC111" s="106"/>
      <c r="AD111" s="105"/>
      <c r="AE111" s="42"/>
    </row>
    <row r="112" spans="1:32" ht="47.25" x14ac:dyDescent="0.3">
      <c r="A112" s="15">
        <v>91</v>
      </c>
      <c r="B112" s="35" t="s">
        <v>143</v>
      </c>
      <c r="C112" s="36"/>
      <c r="D112" s="36">
        <v>45</v>
      </c>
      <c r="E112" s="36">
        <v>45</v>
      </c>
      <c r="F112" s="37">
        <v>117</v>
      </c>
      <c r="G112" s="37">
        <v>0</v>
      </c>
      <c r="H112" s="37">
        <v>45</v>
      </c>
      <c r="I112" s="38">
        <v>55</v>
      </c>
      <c r="J112" s="103">
        <f t="shared" si="3"/>
        <v>125</v>
      </c>
      <c r="K112" s="104">
        <v>50</v>
      </c>
      <c r="L112" s="104"/>
      <c r="M112" s="104"/>
      <c r="N112" s="104"/>
      <c r="O112" s="104"/>
      <c r="P112" s="104"/>
      <c r="Q112" s="104">
        <v>25</v>
      </c>
      <c r="R112" s="104">
        <v>45</v>
      </c>
      <c r="S112" s="104"/>
      <c r="T112" s="106"/>
      <c r="U112" s="106"/>
      <c r="V112" s="106"/>
      <c r="W112" s="106"/>
      <c r="X112" s="104"/>
      <c r="Y112" s="104"/>
      <c r="Z112" s="104"/>
      <c r="AA112" s="104"/>
      <c r="AB112" s="106"/>
      <c r="AC112" s="106"/>
      <c r="AD112" s="105">
        <v>5</v>
      </c>
      <c r="AE112" s="42"/>
    </row>
    <row r="113" spans="1:31" ht="20.25" x14ac:dyDescent="0.3">
      <c r="A113" s="15">
        <v>92</v>
      </c>
      <c r="B113" s="1" t="s">
        <v>144</v>
      </c>
      <c r="C113" s="36"/>
      <c r="D113" s="36"/>
      <c r="E113" s="36"/>
      <c r="F113" s="37"/>
      <c r="G113" s="37">
        <v>0</v>
      </c>
      <c r="H113" s="37">
        <v>0</v>
      </c>
      <c r="I113" s="38">
        <v>40</v>
      </c>
      <c r="J113" s="103">
        <f t="shared" si="3"/>
        <v>18.5</v>
      </c>
      <c r="K113" s="104"/>
      <c r="L113" s="104"/>
      <c r="M113" s="104"/>
      <c r="N113" s="104"/>
      <c r="O113" s="104"/>
      <c r="P113" s="104"/>
      <c r="Q113" s="104"/>
      <c r="R113" s="104"/>
      <c r="S113" s="104"/>
      <c r="T113" s="106"/>
      <c r="U113" s="106"/>
      <c r="V113" s="106"/>
      <c r="W113" s="106"/>
      <c r="X113" s="104"/>
      <c r="Y113" s="104"/>
      <c r="Z113" s="104"/>
      <c r="AA113" s="104">
        <f>20-5</f>
        <v>15</v>
      </c>
      <c r="AB113" s="106"/>
      <c r="AC113" s="106">
        <v>3.5</v>
      </c>
      <c r="AD113" s="105"/>
      <c r="AE113" s="42"/>
    </row>
    <row r="114" spans="1:31" ht="63" x14ac:dyDescent="0.3">
      <c r="A114" s="15">
        <v>93</v>
      </c>
      <c r="B114" s="35" t="s">
        <v>145</v>
      </c>
      <c r="C114" s="36"/>
      <c r="D114" s="36">
        <f>59.8+636</f>
        <v>695.8</v>
      </c>
      <c r="E114" s="36">
        <v>822.96</v>
      </c>
      <c r="F114" s="37">
        <v>810</v>
      </c>
      <c r="G114" s="37">
        <v>0</v>
      </c>
      <c r="H114" s="37">
        <v>750</v>
      </c>
      <c r="I114" s="38">
        <v>1285.33</v>
      </c>
      <c r="J114" s="103">
        <f t="shared" si="3"/>
        <v>1552.52</v>
      </c>
      <c r="K114" s="104">
        <v>54.75</v>
      </c>
      <c r="L114" s="104">
        <v>172.5</v>
      </c>
      <c r="M114" s="104">
        <f>1496.2-300</f>
        <v>1196.2</v>
      </c>
      <c r="N114" s="104"/>
      <c r="O114" s="104"/>
      <c r="P114" s="104">
        <v>77.7</v>
      </c>
      <c r="Q114" s="104"/>
      <c r="R114" s="104"/>
      <c r="S114" s="104"/>
      <c r="T114" s="106"/>
      <c r="U114" s="106"/>
      <c r="V114" s="106"/>
      <c r="W114" s="106"/>
      <c r="X114" s="104"/>
      <c r="Y114" s="104"/>
      <c r="Z114" s="104"/>
      <c r="AA114" s="104"/>
      <c r="AB114" s="106"/>
      <c r="AC114" s="106"/>
      <c r="AD114" s="105">
        <v>51.37</v>
      </c>
      <c r="AE114" s="42"/>
    </row>
    <row r="115" spans="1:31" ht="94.5" x14ac:dyDescent="0.3">
      <c r="A115" s="15">
        <v>94</v>
      </c>
      <c r="B115" s="35" t="s">
        <v>146</v>
      </c>
      <c r="C115" s="36"/>
      <c r="D115" s="36">
        <v>150</v>
      </c>
      <c r="E115" s="36">
        <v>195.68</v>
      </c>
      <c r="F115" s="37">
        <v>300</v>
      </c>
      <c r="G115" s="37">
        <v>0</v>
      </c>
      <c r="H115" s="37">
        <v>732</v>
      </c>
      <c r="I115" s="38">
        <v>958.7</v>
      </c>
      <c r="J115" s="103">
        <f t="shared" si="3"/>
        <v>1152.4500000000003</v>
      </c>
      <c r="K115" s="104"/>
      <c r="L115" s="104">
        <v>185</v>
      </c>
      <c r="M115" s="104">
        <f>1836.4-1000</f>
        <v>836.40000000000009</v>
      </c>
      <c r="N115" s="104"/>
      <c r="O115" s="107"/>
      <c r="P115" s="104">
        <v>98.4</v>
      </c>
      <c r="Q115" s="104"/>
      <c r="R115" s="104"/>
      <c r="S115" s="104"/>
      <c r="T115" s="106"/>
      <c r="U115" s="106"/>
      <c r="V115" s="106"/>
      <c r="W115" s="106"/>
      <c r="X115" s="104">
        <v>20</v>
      </c>
      <c r="Y115" s="104"/>
      <c r="Z115" s="104"/>
      <c r="AA115" s="104"/>
      <c r="AB115" s="106"/>
      <c r="AC115" s="106"/>
      <c r="AD115" s="105">
        <v>12.65</v>
      </c>
      <c r="AE115" s="42"/>
    </row>
    <row r="116" spans="1:31" ht="20.25" x14ac:dyDescent="0.3">
      <c r="A116" s="15">
        <v>95</v>
      </c>
      <c r="B116" s="35" t="s">
        <v>147</v>
      </c>
      <c r="C116" s="36"/>
      <c r="D116" s="36">
        <v>661.8</v>
      </c>
      <c r="E116" s="36">
        <v>622.67999999999995</v>
      </c>
      <c r="F116" s="37">
        <v>453.72</v>
      </c>
      <c r="G116" s="37">
        <v>0</v>
      </c>
      <c r="H116" s="37">
        <v>303</v>
      </c>
      <c r="I116" s="38">
        <v>268.01</v>
      </c>
      <c r="J116" s="103">
        <f t="shared" si="3"/>
        <v>217.5</v>
      </c>
      <c r="K116" s="104"/>
      <c r="L116" s="104"/>
      <c r="M116" s="104"/>
      <c r="N116" s="104"/>
      <c r="O116" s="104"/>
      <c r="P116" s="104"/>
      <c r="Q116" s="104"/>
      <c r="R116" s="104">
        <v>8.8000000000000007</v>
      </c>
      <c r="S116" s="104"/>
      <c r="T116" s="106"/>
      <c r="U116" s="106">
        <v>14.5</v>
      </c>
      <c r="V116" s="106"/>
      <c r="W116" s="106"/>
      <c r="X116" s="104"/>
      <c r="Y116" s="104">
        <f>30-10</f>
        <v>20</v>
      </c>
      <c r="Z116" s="104"/>
      <c r="AA116" s="104">
        <v>174.2</v>
      </c>
      <c r="AB116" s="106"/>
      <c r="AC116" s="106"/>
      <c r="AD116" s="105"/>
      <c r="AE116" s="42"/>
    </row>
    <row r="117" spans="1:31" ht="31.5" x14ac:dyDescent="0.3">
      <c r="A117" s="15">
        <v>96</v>
      </c>
      <c r="B117" s="35" t="s">
        <v>148</v>
      </c>
      <c r="C117" s="36"/>
      <c r="D117" s="36">
        <v>51.6</v>
      </c>
      <c r="E117" s="36">
        <v>61</v>
      </c>
      <c r="F117" s="37">
        <v>61.2</v>
      </c>
      <c r="G117" s="37">
        <v>0</v>
      </c>
      <c r="H117" s="37">
        <v>0</v>
      </c>
      <c r="I117" s="38">
        <v>60.98</v>
      </c>
      <c r="J117" s="103">
        <f t="shared" si="3"/>
        <v>61</v>
      </c>
      <c r="K117" s="104"/>
      <c r="L117" s="104"/>
      <c r="M117" s="104"/>
      <c r="N117" s="104"/>
      <c r="O117" s="104"/>
      <c r="P117" s="104"/>
      <c r="Q117" s="104"/>
      <c r="R117" s="104"/>
      <c r="S117" s="104"/>
      <c r="T117" s="106"/>
      <c r="U117" s="106">
        <v>61</v>
      </c>
      <c r="V117" s="106"/>
      <c r="W117" s="106"/>
      <c r="X117" s="104"/>
      <c r="Y117" s="104"/>
      <c r="Z117" s="104"/>
      <c r="AA117" s="104"/>
      <c r="AB117" s="106"/>
      <c r="AC117" s="106"/>
      <c r="AD117" s="105"/>
      <c r="AE117" s="42"/>
    </row>
    <row r="118" spans="1:31" ht="47.25" x14ac:dyDescent="0.3">
      <c r="A118" s="15">
        <v>97</v>
      </c>
      <c r="B118" s="35" t="s">
        <v>149</v>
      </c>
      <c r="C118" s="36"/>
      <c r="D118" s="36">
        <v>326.10000000000002</v>
      </c>
      <c r="E118" s="36">
        <v>90</v>
      </c>
      <c r="F118" s="37">
        <v>80</v>
      </c>
      <c r="G118" s="37">
        <v>50</v>
      </c>
      <c r="H118" s="37"/>
      <c r="I118" s="38">
        <v>222</v>
      </c>
      <c r="J118" s="103">
        <f t="shared" si="3"/>
        <v>80</v>
      </c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6"/>
      <c r="V118" s="106"/>
      <c r="W118" s="104"/>
      <c r="X118" s="104"/>
      <c r="Y118" s="104">
        <f>100-20</f>
        <v>80</v>
      </c>
      <c r="Z118" s="104"/>
      <c r="AA118" s="104"/>
      <c r="AB118" s="104"/>
      <c r="AC118" s="104"/>
      <c r="AD118" s="105"/>
      <c r="AE118" s="42"/>
    </row>
    <row r="119" spans="1:31" ht="20.25" x14ac:dyDescent="0.3">
      <c r="A119" s="15">
        <v>98</v>
      </c>
      <c r="B119" s="35" t="s">
        <v>150</v>
      </c>
      <c r="C119" s="36"/>
      <c r="D119" s="36">
        <v>1244.8</v>
      </c>
      <c r="E119" s="36">
        <v>1249.6199999999999</v>
      </c>
      <c r="F119" s="37">
        <v>717.5</v>
      </c>
      <c r="G119" s="37">
        <v>0</v>
      </c>
      <c r="H119" s="37">
        <v>1063.33</v>
      </c>
      <c r="I119" s="38">
        <v>751.05</v>
      </c>
      <c r="J119" s="103">
        <f t="shared" ref="J119:J155" si="4">SUM(K119:AD119)</f>
        <v>999.30000000000007</v>
      </c>
      <c r="K119" s="104">
        <f>50-15</f>
        <v>35</v>
      </c>
      <c r="L119" s="104">
        <f>40-10</f>
        <v>30</v>
      </c>
      <c r="M119" s="104">
        <f>510-50</f>
        <v>460</v>
      </c>
      <c r="N119" s="104"/>
      <c r="O119" s="104"/>
      <c r="P119" s="104">
        <f>47.7-10</f>
        <v>37.700000000000003</v>
      </c>
      <c r="Q119" s="104">
        <v>30</v>
      </c>
      <c r="R119" s="104"/>
      <c r="S119" s="104"/>
      <c r="T119" s="104">
        <v>350</v>
      </c>
      <c r="U119" s="106">
        <v>16</v>
      </c>
      <c r="V119" s="106"/>
      <c r="W119" s="104"/>
      <c r="X119" s="104">
        <f>30-20</f>
        <v>10</v>
      </c>
      <c r="Y119" s="104"/>
      <c r="Z119" s="104"/>
      <c r="AA119" s="104">
        <v>10</v>
      </c>
      <c r="AB119" s="104"/>
      <c r="AC119" s="104"/>
      <c r="AD119" s="105">
        <f>20.6</f>
        <v>20.6</v>
      </c>
      <c r="AE119" s="42"/>
    </row>
    <row r="120" spans="1:31" ht="20.25" x14ac:dyDescent="0.3">
      <c r="A120" s="15">
        <v>99</v>
      </c>
      <c r="B120" s="35" t="s">
        <v>151</v>
      </c>
      <c r="C120" s="36"/>
      <c r="D120" s="36">
        <v>556.11</v>
      </c>
      <c r="E120" s="36">
        <v>593.64</v>
      </c>
      <c r="F120" s="37">
        <v>778.96</v>
      </c>
      <c r="G120" s="37">
        <v>266</v>
      </c>
      <c r="H120" s="37">
        <v>829.2</v>
      </c>
      <c r="I120" s="38">
        <v>1285.57</v>
      </c>
      <c r="J120" s="103">
        <f t="shared" si="4"/>
        <v>1437.6</v>
      </c>
      <c r="K120" s="104">
        <v>300</v>
      </c>
      <c r="L120" s="104">
        <v>30</v>
      </c>
      <c r="M120" s="104">
        <f>680-300</f>
        <v>380</v>
      </c>
      <c r="N120" s="104"/>
      <c r="O120" s="104">
        <v>10</v>
      </c>
      <c r="P120" s="104">
        <v>10</v>
      </c>
      <c r="Q120" s="104">
        <v>141.6</v>
      </c>
      <c r="R120" s="104"/>
      <c r="S120" s="104"/>
      <c r="T120" s="104">
        <f>550-150</f>
        <v>400</v>
      </c>
      <c r="U120" s="106">
        <f>50-20</f>
        <v>30</v>
      </c>
      <c r="V120" s="106">
        <v>50</v>
      </c>
      <c r="W120" s="104"/>
      <c r="X120" s="104">
        <v>50</v>
      </c>
      <c r="Y120" s="104"/>
      <c r="Z120" s="104"/>
      <c r="AA120" s="104">
        <f>40-20</f>
        <v>20</v>
      </c>
      <c r="AB120" s="104"/>
      <c r="AC120" s="104"/>
      <c r="AD120" s="105">
        <f>36-20</f>
        <v>16</v>
      </c>
      <c r="AE120" s="42"/>
    </row>
    <row r="121" spans="1:31" ht="20.25" x14ac:dyDescent="0.3">
      <c r="A121" s="15">
        <v>100</v>
      </c>
      <c r="B121" s="35" t="s">
        <v>152</v>
      </c>
      <c r="C121" s="36"/>
      <c r="D121" s="36"/>
      <c r="E121" s="36"/>
      <c r="F121" s="37"/>
      <c r="G121" s="37"/>
      <c r="H121" s="37"/>
      <c r="I121" s="38"/>
      <c r="J121" s="103">
        <f t="shared" si="4"/>
        <v>3</v>
      </c>
      <c r="K121" s="104"/>
      <c r="L121" s="104"/>
      <c r="M121" s="104"/>
      <c r="N121" s="104"/>
      <c r="O121" s="104"/>
      <c r="P121" s="104"/>
      <c r="Q121" s="104"/>
      <c r="R121" s="104"/>
      <c r="S121" s="104"/>
      <c r="T121" s="106"/>
      <c r="U121" s="106"/>
      <c r="V121" s="106"/>
      <c r="W121" s="106"/>
      <c r="X121" s="104"/>
      <c r="Y121" s="104"/>
      <c r="Z121" s="104"/>
      <c r="AA121" s="104"/>
      <c r="AB121" s="106"/>
      <c r="AC121" s="106"/>
      <c r="AD121" s="105">
        <v>3</v>
      </c>
      <c r="AE121" s="42"/>
    </row>
    <row r="122" spans="1:31" ht="20.25" x14ac:dyDescent="0.3">
      <c r="A122" s="15">
        <v>101</v>
      </c>
      <c r="B122" s="35" t="s">
        <v>153</v>
      </c>
      <c r="C122" s="36"/>
      <c r="D122" s="36"/>
      <c r="E122" s="36"/>
      <c r="F122" s="37"/>
      <c r="G122" s="37"/>
      <c r="H122" s="37"/>
      <c r="I122" s="38"/>
      <c r="J122" s="103">
        <f t="shared" si="4"/>
        <v>200</v>
      </c>
      <c r="K122" s="104"/>
      <c r="L122" s="104"/>
      <c r="M122" s="104"/>
      <c r="N122" s="104"/>
      <c r="O122" s="104"/>
      <c r="P122" s="104"/>
      <c r="Q122" s="104"/>
      <c r="R122" s="104"/>
      <c r="S122" s="104"/>
      <c r="T122" s="106"/>
      <c r="U122" s="106">
        <f>300-100</f>
        <v>200</v>
      </c>
      <c r="V122" s="106"/>
      <c r="W122" s="106"/>
      <c r="X122" s="104"/>
      <c r="Y122" s="104"/>
      <c r="Z122" s="104"/>
      <c r="AA122" s="104"/>
      <c r="AB122" s="106"/>
      <c r="AC122" s="106"/>
      <c r="AD122" s="105"/>
      <c r="AE122" s="42"/>
    </row>
    <row r="123" spans="1:31" ht="31.5" x14ac:dyDescent="0.3">
      <c r="A123" s="15">
        <v>102</v>
      </c>
      <c r="B123" s="35" t="s">
        <v>154</v>
      </c>
      <c r="C123" s="36"/>
      <c r="D123" s="36">
        <v>250</v>
      </c>
      <c r="E123" s="36">
        <v>240</v>
      </c>
      <c r="F123" s="37">
        <v>230</v>
      </c>
      <c r="G123" s="37">
        <v>0</v>
      </c>
      <c r="H123" s="37">
        <v>560</v>
      </c>
      <c r="I123" s="38">
        <v>362</v>
      </c>
      <c r="J123" s="103">
        <f t="shared" si="4"/>
        <v>408.51</v>
      </c>
      <c r="K123" s="104">
        <v>40</v>
      </c>
      <c r="L123" s="104">
        <v>254</v>
      </c>
      <c r="M123" s="104"/>
      <c r="N123" s="104"/>
      <c r="O123" s="104"/>
      <c r="P123" s="104"/>
      <c r="Q123" s="104"/>
      <c r="R123" s="104"/>
      <c r="S123" s="104"/>
      <c r="T123" s="106"/>
      <c r="U123" s="106">
        <v>21.5</v>
      </c>
      <c r="V123" s="106">
        <f>100-26.99</f>
        <v>73.010000000000005</v>
      </c>
      <c r="W123" s="106"/>
      <c r="X123" s="104">
        <v>20</v>
      </c>
      <c r="Y123" s="104"/>
      <c r="Z123" s="104"/>
      <c r="AA123" s="104"/>
      <c r="AB123" s="106"/>
      <c r="AC123" s="106"/>
      <c r="AD123" s="105"/>
      <c r="AE123" s="42"/>
    </row>
    <row r="124" spans="1:31" ht="94.5" x14ac:dyDescent="0.3">
      <c r="A124" s="15">
        <v>103</v>
      </c>
      <c r="B124" s="35" t="s">
        <v>155</v>
      </c>
      <c r="C124" s="36"/>
      <c r="D124" s="36">
        <v>48</v>
      </c>
      <c r="E124" s="36">
        <v>140</v>
      </c>
      <c r="F124" s="37">
        <v>135</v>
      </c>
      <c r="G124" s="37">
        <v>0</v>
      </c>
      <c r="H124" s="37">
        <v>384</v>
      </c>
      <c r="I124" s="38">
        <v>110</v>
      </c>
      <c r="J124" s="103">
        <f t="shared" si="4"/>
        <v>145</v>
      </c>
      <c r="K124" s="104"/>
      <c r="L124" s="104"/>
      <c r="M124" s="104"/>
      <c r="N124" s="104"/>
      <c r="O124" s="104"/>
      <c r="P124" s="104"/>
      <c r="Q124" s="104"/>
      <c r="R124" s="104"/>
      <c r="S124" s="104"/>
      <c r="T124" s="104">
        <f>100</f>
        <v>100</v>
      </c>
      <c r="U124" s="106"/>
      <c r="V124" s="106"/>
      <c r="W124" s="104"/>
      <c r="X124" s="104">
        <f>65-20</f>
        <v>45</v>
      </c>
      <c r="Y124" s="104"/>
      <c r="Z124" s="104"/>
      <c r="AA124" s="104"/>
      <c r="AB124" s="104"/>
      <c r="AC124" s="104"/>
      <c r="AD124" s="105"/>
      <c r="AE124" s="42"/>
    </row>
    <row r="125" spans="1:31" ht="36" customHeight="1" x14ac:dyDescent="0.3">
      <c r="A125" s="15">
        <v>104</v>
      </c>
      <c r="B125" s="35" t="s">
        <v>156</v>
      </c>
      <c r="C125" s="48"/>
      <c r="D125" s="48">
        <v>882</v>
      </c>
      <c r="E125" s="48">
        <v>757.5</v>
      </c>
      <c r="F125" s="37"/>
      <c r="G125" s="37">
        <v>0</v>
      </c>
      <c r="H125" s="37">
        <v>107.5</v>
      </c>
      <c r="I125" s="38">
        <v>167.5</v>
      </c>
      <c r="J125" s="103">
        <f t="shared" si="4"/>
        <v>27.5</v>
      </c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6"/>
      <c r="V125" s="106"/>
      <c r="W125" s="104"/>
      <c r="X125" s="104"/>
      <c r="Y125" s="104"/>
      <c r="Z125" s="104"/>
      <c r="AA125" s="104"/>
      <c r="AB125" s="104"/>
      <c r="AC125" s="104"/>
      <c r="AD125" s="105">
        <v>27.5</v>
      </c>
      <c r="AE125" s="42"/>
    </row>
    <row r="126" spans="1:31" ht="33" customHeight="1" x14ac:dyDescent="0.3">
      <c r="A126" s="15">
        <v>105</v>
      </c>
      <c r="B126" s="35" t="s">
        <v>157</v>
      </c>
      <c r="C126" s="48"/>
      <c r="D126" s="48">
        <v>457.9</v>
      </c>
      <c r="E126" s="48">
        <v>459.6</v>
      </c>
      <c r="F126" s="37">
        <v>439.3</v>
      </c>
      <c r="G126" s="37">
        <v>0</v>
      </c>
      <c r="H126" s="37">
        <v>283.7</v>
      </c>
      <c r="I126" s="38">
        <v>270.45999999999998</v>
      </c>
      <c r="J126" s="103">
        <f t="shared" si="4"/>
        <v>338.92400000000004</v>
      </c>
      <c r="K126" s="104">
        <v>78.599999999999994</v>
      </c>
      <c r="L126" s="104"/>
      <c r="M126" s="104"/>
      <c r="N126" s="104"/>
      <c r="O126" s="104"/>
      <c r="P126" s="104"/>
      <c r="Q126" s="104">
        <v>6</v>
      </c>
      <c r="R126" s="104">
        <f>298.5-100</f>
        <v>198.5</v>
      </c>
      <c r="S126" s="104"/>
      <c r="T126" s="104">
        <v>44.24</v>
      </c>
      <c r="U126" s="106"/>
      <c r="V126" s="106"/>
      <c r="W126" s="104"/>
      <c r="X126" s="104"/>
      <c r="Y126" s="104"/>
      <c r="Z126" s="104"/>
      <c r="AA126" s="104">
        <f>3.2+8+0.384</f>
        <v>11.584</v>
      </c>
      <c r="AB126" s="104"/>
      <c r="AC126" s="104"/>
      <c r="AD126" s="105"/>
      <c r="AE126" s="42"/>
    </row>
    <row r="127" spans="1:31" ht="24" customHeight="1" x14ac:dyDescent="0.3">
      <c r="A127" s="15">
        <v>106</v>
      </c>
      <c r="B127" s="35" t="s">
        <v>158</v>
      </c>
      <c r="C127" s="48"/>
      <c r="D127" s="36">
        <v>150</v>
      </c>
      <c r="E127" s="36">
        <v>305</v>
      </c>
      <c r="F127" s="37">
        <v>451</v>
      </c>
      <c r="G127" s="37">
        <v>0</v>
      </c>
      <c r="H127" s="37">
        <v>591.15</v>
      </c>
      <c r="I127" s="38">
        <v>80</v>
      </c>
      <c r="J127" s="103">
        <f t="shared" si="4"/>
        <v>85.7</v>
      </c>
      <c r="K127" s="104"/>
      <c r="L127" s="104"/>
      <c r="M127" s="104"/>
      <c r="N127" s="104"/>
      <c r="O127" s="104"/>
      <c r="P127" s="104"/>
      <c r="Q127" s="104"/>
      <c r="R127" s="104"/>
      <c r="S127" s="104"/>
      <c r="T127" s="106"/>
      <c r="U127" s="106"/>
      <c r="V127" s="106"/>
      <c r="W127" s="106"/>
      <c r="X127" s="104"/>
      <c r="Y127" s="104"/>
      <c r="Z127" s="104"/>
      <c r="AA127" s="104"/>
      <c r="AB127" s="106"/>
      <c r="AC127" s="104">
        <f>105.7-20</f>
        <v>85.7</v>
      </c>
      <c r="AD127" s="105"/>
      <c r="AE127" s="42"/>
    </row>
    <row r="128" spans="1:31" ht="31.5" x14ac:dyDescent="0.3">
      <c r="A128" s="15">
        <v>107</v>
      </c>
      <c r="B128" s="35" t="s">
        <v>159</v>
      </c>
      <c r="C128" s="48"/>
      <c r="D128" s="36">
        <v>200</v>
      </c>
      <c r="E128" s="36">
        <v>150</v>
      </c>
      <c r="F128" s="37">
        <v>150</v>
      </c>
      <c r="G128" s="37">
        <v>0</v>
      </c>
      <c r="H128" s="37">
        <v>412.1</v>
      </c>
      <c r="I128" s="38">
        <v>180</v>
      </c>
      <c r="J128" s="103">
        <f t="shared" si="4"/>
        <v>245.3</v>
      </c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30"/>
      <c r="V128" s="130"/>
      <c r="W128" s="104"/>
      <c r="X128" s="104"/>
      <c r="Y128" s="104"/>
      <c r="Z128" s="104">
        <f>452.3-250</f>
        <v>202.3</v>
      </c>
      <c r="AA128" s="104">
        <f>73-30</f>
        <v>43</v>
      </c>
      <c r="AB128" s="104"/>
      <c r="AC128" s="104"/>
      <c r="AD128" s="105"/>
      <c r="AE128" s="42"/>
    </row>
    <row r="129" spans="1:31" ht="31.5" x14ac:dyDescent="0.3">
      <c r="A129" s="15">
        <v>108</v>
      </c>
      <c r="B129" s="35" t="s">
        <v>160</v>
      </c>
      <c r="C129" s="48"/>
      <c r="D129" s="36">
        <v>143.57</v>
      </c>
      <c r="E129" s="36">
        <v>110</v>
      </c>
      <c r="F129" s="37">
        <v>50</v>
      </c>
      <c r="G129" s="37">
        <v>0</v>
      </c>
      <c r="H129" s="37">
        <v>695.9</v>
      </c>
      <c r="I129" s="38">
        <v>260</v>
      </c>
      <c r="J129" s="103">
        <f t="shared" si="4"/>
        <v>98</v>
      </c>
      <c r="K129" s="104"/>
      <c r="L129" s="104"/>
      <c r="M129" s="104"/>
      <c r="N129" s="104"/>
      <c r="O129" s="104"/>
      <c r="P129" s="104"/>
      <c r="Q129" s="104"/>
      <c r="R129" s="104"/>
      <c r="S129" s="104"/>
      <c r="T129" s="106"/>
      <c r="U129" s="130"/>
      <c r="V129" s="130"/>
      <c r="W129" s="106"/>
      <c r="X129" s="104"/>
      <c r="Y129" s="104"/>
      <c r="Z129" s="104"/>
      <c r="AA129" s="104">
        <v>18</v>
      </c>
      <c r="AB129" s="106"/>
      <c r="AC129" s="106"/>
      <c r="AD129" s="105">
        <f>100-20</f>
        <v>80</v>
      </c>
      <c r="AE129" s="42"/>
    </row>
    <row r="130" spans="1:31" ht="31.5" x14ac:dyDescent="0.3">
      <c r="A130" s="15">
        <v>109</v>
      </c>
      <c r="B130" s="35" t="s">
        <v>161</v>
      </c>
      <c r="C130" s="48"/>
      <c r="D130" s="36"/>
      <c r="E130" s="36"/>
      <c r="F130" s="37"/>
      <c r="G130" s="37"/>
      <c r="H130" s="37"/>
      <c r="I130" s="38"/>
      <c r="J130" s="103">
        <f t="shared" si="4"/>
        <v>150</v>
      </c>
      <c r="K130" s="104"/>
      <c r="L130" s="104"/>
      <c r="M130" s="104"/>
      <c r="N130" s="104"/>
      <c r="O130" s="104"/>
      <c r="P130" s="104"/>
      <c r="Q130" s="104"/>
      <c r="R130" s="104"/>
      <c r="S130" s="104"/>
      <c r="T130" s="106"/>
      <c r="U130" s="130"/>
      <c r="V130" s="130"/>
      <c r="W130" s="106"/>
      <c r="X130" s="104"/>
      <c r="Y130" s="104"/>
      <c r="Z130" s="104">
        <v>150</v>
      </c>
      <c r="AA130" s="104"/>
      <c r="AB130" s="106"/>
      <c r="AC130" s="106"/>
      <c r="AD130" s="105"/>
      <c r="AE130" s="42"/>
    </row>
    <row r="131" spans="1:31" ht="39.75" customHeight="1" x14ac:dyDescent="0.3">
      <c r="A131" s="15">
        <v>110</v>
      </c>
      <c r="B131" s="35" t="s">
        <v>162</v>
      </c>
      <c r="C131" s="48"/>
      <c r="D131" s="36">
        <v>300</v>
      </c>
      <c r="E131" s="36">
        <v>500</v>
      </c>
      <c r="F131" s="37">
        <v>250</v>
      </c>
      <c r="G131" s="37">
        <v>0</v>
      </c>
      <c r="H131" s="37">
        <v>1277.8399999999999</v>
      </c>
      <c r="I131" s="38">
        <v>429</v>
      </c>
      <c r="J131" s="103">
        <f t="shared" si="4"/>
        <v>133</v>
      </c>
      <c r="K131" s="104"/>
      <c r="L131" s="104"/>
      <c r="M131" s="104"/>
      <c r="N131" s="104"/>
      <c r="O131" s="104"/>
      <c r="P131" s="104"/>
      <c r="Q131" s="104"/>
      <c r="R131" s="104"/>
      <c r="S131" s="104"/>
      <c r="T131" s="106"/>
      <c r="U131" s="130"/>
      <c r="V131" s="130"/>
      <c r="W131" s="106"/>
      <c r="X131" s="104"/>
      <c r="Y131" s="104"/>
      <c r="Z131" s="104"/>
      <c r="AA131" s="104"/>
      <c r="AB131" s="106">
        <f>233-100</f>
        <v>133</v>
      </c>
      <c r="AC131" s="106"/>
      <c r="AD131" s="105"/>
      <c r="AE131" s="42"/>
    </row>
    <row r="132" spans="1:31" ht="24.75" customHeight="1" x14ac:dyDescent="0.3">
      <c r="A132" s="15">
        <v>111</v>
      </c>
      <c r="B132" s="35" t="s">
        <v>163</v>
      </c>
      <c r="C132" s="48"/>
      <c r="D132" s="36"/>
      <c r="E132" s="36"/>
      <c r="F132" s="37"/>
      <c r="G132" s="37"/>
      <c r="H132" s="37"/>
      <c r="I132" s="38"/>
      <c r="J132" s="103">
        <f t="shared" si="4"/>
        <v>93.100000000000023</v>
      </c>
      <c r="K132" s="104"/>
      <c r="L132" s="104"/>
      <c r="M132" s="104"/>
      <c r="N132" s="104"/>
      <c r="O132" s="104">
        <f>643.1-550</f>
        <v>93.100000000000023</v>
      </c>
      <c r="P132" s="104"/>
      <c r="Q132" s="104"/>
      <c r="R132" s="104"/>
      <c r="S132" s="104"/>
      <c r="T132" s="106"/>
      <c r="U132" s="130"/>
      <c r="V132" s="130"/>
      <c r="W132" s="106"/>
      <c r="X132" s="104"/>
      <c r="Y132" s="104"/>
      <c r="Z132" s="104"/>
      <c r="AA132" s="104"/>
      <c r="AB132" s="106"/>
      <c r="AC132" s="106"/>
      <c r="AD132" s="105"/>
      <c r="AE132" s="42"/>
    </row>
    <row r="133" spans="1:31" ht="47.25" x14ac:dyDescent="0.3">
      <c r="A133" s="15">
        <v>112</v>
      </c>
      <c r="B133" s="35" t="s">
        <v>164</v>
      </c>
      <c r="C133" s="48"/>
      <c r="D133" s="36"/>
      <c r="E133" s="36"/>
      <c r="F133" s="37">
        <v>300</v>
      </c>
      <c r="G133" s="37">
        <v>0</v>
      </c>
      <c r="H133" s="37"/>
      <c r="I133" s="38">
        <v>718.5</v>
      </c>
      <c r="J133" s="103">
        <f t="shared" si="4"/>
        <v>955.29999999999984</v>
      </c>
      <c r="K133" s="104"/>
      <c r="L133" s="104"/>
      <c r="M133" s="104"/>
      <c r="N133" s="104"/>
      <c r="O133" s="104"/>
      <c r="P133" s="104">
        <f>(226.3+1791.6)-1200</f>
        <v>817.89999999999986</v>
      </c>
      <c r="Q133" s="104"/>
      <c r="R133" s="104"/>
      <c r="S133" s="104"/>
      <c r="T133" s="106"/>
      <c r="U133" s="130"/>
      <c r="V133" s="130"/>
      <c r="W133" s="106"/>
      <c r="X133" s="104"/>
      <c r="Y133" s="104"/>
      <c r="Z133" s="104"/>
      <c r="AA133" s="104"/>
      <c r="AB133" s="106">
        <f>187.4-50</f>
        <v>137.4</v>
      </c>
      <c r="AC133" s="106"/>
      <c r="AD133" s="105"/>
      <c r="AE133" s="42"/>
    </row>
    <row r="134" spans="1:31" ht="20.25" x14ac:dyDescent="0.3">
      <c r="A134" s="15">
        <v>113</v>
      </c>
      <c r="B134" s="35" t="s">
        <v>165</v>
      </c>
      <c r="C134" s="48"/>
      <c r="D134" s="36"/>
      <c r="E134" s="36"/>
      <c r="F134" s="37">
        <v>178</v>
      </c>
      <c r="G134" s="37">
        <v>0</v>
      </c>
      <c r="H134" s="37">
        <v>274</v>
      </c>
      <c r="I134" s="38">
        <v>220</v>
      </c>
      <c r="J134" s="103">
        <f t="shared" si="4"/>
        <v>150</v>
      </c>
      <c r="K134" s="104">
        <v>150</v>
      </c>
      <c r="L134" s="104"/>
      <c r="M134" s="104"/>
      <c r="N134" s="104"/>
      <c r="O134" s="104"/>
      <c r="P134" s="104"/>
      <c r="Q134" s="104"/>
      <c r="R134" s="104"/>
      <c r="S134" s="104"/>
      <c r="T134" s="106"/>
      <c r="U134" s="130"/>
      <c r="V134" s="130"/>
      <c r="W134" s="106"/>
      <c r="X134" s="104"/>
      <c r="Y134" s="104"/>
      <c r="Z134" s="104"/>
      <c r="AA134" s="104"/>
      <c r="AB134" s="106"/>
      <c r="AC134" s="106"/>
      <c r="AD134" s="105"/>
      <c r="AE134" s="42"/>
    </row>
    <row r="135" spans="1:31" ht="45.75" customHeight="1" x14ac:dyDescent="0.3">
      <c r="A135" s="15">
        <v>114</v>
      </c>
      <c r="B135" s="35" t="s">
        <v>166</v>
      </c>
      <c r="C135" s="48"/>
      <c r="D135" s="36"/>
      <c r="E135" s="36"/>
      <c r="F135" s="37">
        <v>267</v>
      </c>
      <c r="G135" s="37">
        <v>0</v>
      </c>
      <c r="H135" s="37"/>
      <c r="I135" s="38"/>
      <c r="J135" s="103">
        <f t="shared" si="4"/>
        <v>360</v>
      </c>
      <c r="K135" s="104"/>
      <c r="L135" s="104"/>
      <c r="M135" s="104">
        <v>360</v>
      </c>
      <c r="N135" s="104"/>
      <c r="O135" s="104"/>
      <c r="P135" s="104"/>
      <c r="Q135" s="104"/>
      <c r="R135" s="104"/>
      <c r="S135" s="104"/>
      <c r="T135" s="106"/>
      <c r="U135" s="130"/>
      <c r="V135" s="130"/>
      <c r="W135" s="106"/>
      <c r="X135" s="104"/>
      <c r="Y135" s="104"/>
      <c r="Z135" s="104"/>
      <c r="AA135" s="104"/>
      <c r="AB135" s="106"/>
      <c r="AC135" s="106"/>
      <c r="AD135" s="105"/>
      <c r="AE135" s="42"/>
    </row>
    <row r="136" spans="1:31" ht="31.5" x14ac:dyDescent="0.3">
      <c r="A136" s="15">
        <v>115</v>
      </c>
      <c r="B136" s="35" t="s">
        <v>167</v>
      </c>
      <c r="C136" s="36"/>
      <c r="D136" s="36">
        <v>75</v>
      </c>
      <c r="E136" s="36">
        <v>80</v>
      </c>
      <c r="F136" s="37">
        <v>70</v>
      </c>
      <c r="G136" s="37">
        <v>70</v>
      </c>
      <c r="H136" s="37">
        <v>75</v>
      </c>
      <c r="I136" s="38">
        <v>130</v>
      </c>
      <c r="J136" s="103">
        <f t="shared" si="4"/>
        <v>85</v>
      </c>
      <c r="K136" s="104"/>
      <c r="L136" s="104"/>
      <c r="M136" s="104"/>
      <c r="N136" s="104"/>
      <c r="O136" s="104"/>
      <c r="P136" s="104"/>
      <c r="Q136" s="104"/>
      <c r="R136" s="104"/>
      <c r="S136" s="104"/>
      <c r="T136" s="106"/>
      <c r="U136" s="130"/>
      <c r="V136" s="130"/>
      <c r="W136" s="106"/>
      <c r="X136" s="104">
        <v>85</v>
      </c>
      <c r="Y136" s="104"/>
      <c r="Z136" s="104"/>
      <c r="AA136" s="104"/>
      <c r="AB136" s="106"/>
      <c r="AC136" s="106"/>
      <c r="AD136" s="105"/>
      <c r="AE136" s="42"/>
    </row>
    <row r="137" spans="1:31" ht="34.5" customHeight="1" x14ac:dyDescent="0.3">
      <c r="A137" s="15">
        <v>116</v>
      </c>
      <c r="B137" s="131" t="s">
        <v>168</v>
      </c>
      <c r="C137" s="36"/>
      <c r="D137" s="36">
        <v>1122</v>
      </c>
      <c r="E137" s="36">
        <v>0</v>
      </c>
      <c r="F137" s="37">
        <v>260</v>
      </c>
      <c r="G137" s="37">
        <v>0</v>
      </c>
      <c r="H137" s="37">
        <v>266.10000000000002</v>
      </c>
      <c r="I137" s="38">
        <v>80</v>
      </c>
      <c r="J137" s="103">
        <f t="shared" si="4"/>
        <v>88</v>
      </c>
      <c r="K137" s="104"/>
      <c r="L137" s="104"/>
      <c r="M137" s="104"/>
      <c r="N137" s="104"/>
      <c r="O137" s="104"/>
      <c r="P137" s="104"/>
      <c r="Q137" s="104"/>
      <c r="R137" s="104"/>
      <c r="S137" s="104"/>
      <c r="T137" s="106"/>
      <c r="U137" s="106"/>
      <c r="V137" s="106"/>
      <c r="W137" s="106">
        <f>128-40</f>
        <v>88</v>
      </c>
      <c r="X137" s="104"/>
      <c r="Y137" s="104"/>
      <c r="Z137" s="104"/>
      <c r="AA137" s="104"/>
      <c r="AB137" s="106"/>
      <c r="AC137" s="106"/>
      <c r="AD137" s="105"/>
      <c r="AE137" s="42"/>
    </row>
    <row r="138" spans="1:31" ht="63" x14ac:dyDescent="0.3">
      <c r="A138" s="15">
        <v>118</v>
      </c>
      <c r="B138" s="35" t="s">
        <v>169</v>
      </c>
      <c r="C138" s="36"/>
      <c r="D138" s="36"/>
      <c r="E138" s="36"/>
      <c r="F138" s="37">
        <v>1064</v>
      </c>
      <c r="G138" s="37">
        <v>0</v>
      </c>
      <c r="H138" s="37">
        <v>223</v>
      </c>
      <c r="I138" s="38">
        <v>401</v>
      </c>
      <c r="J138" s="103">
        <f t="shared" si="4"/>
        <v>50.6</v>
      </c>
      <c r="K138" s="104"/>
      <c r="L138" s="104"/>
      <c r="M138" s="104"/>
      <c r="N138" s="104"/>
      <c r="O138" s="104"/>
      <c r="P138" s="104"/>
      <c r="Q138" s="104">
        <v>25</v>
      </c>
      <c r="R138" s="104"/>
      <c r="S138" s="104"/>
      <c r="T138" s="106">
        <v>25.6</v>
      </c>
      <c r="U138" s="106"/>
      <c r="V138" s="106"/>
      <c r="W138" s="106"/>
      <c r="X138" s="104"/>
      <c r="Y138" s="104"/>
      <c r="Z138" s="104"/>
      <c r="AA138" s="104"/>
      <c r="AB138" s="106"/>
      <c r="AC138" s="106"/>
      <c r="AD138" s="105"/>
      <c r="AE138" s="42"/>
    </row>
    <row r="139" spans="1:31" ht="20.25" x14ac:dyDescent="0.3">
      <c r="A139" s="15">
        <v>119</v>
      </c>
      <c r="B139" s="35" t="s">
        <v>170</v>
      </c>
      <c r="C139" s="36"/>
      <c r="D139" s="36">
        <v>150</v>
      </c>
      <c r="E139" s="36">
        <v>110</v>
      </c>
      <c r="F139" s="37">
        <v>80</v>
      </c>
      <c r="G139" s="37">
        <v>0</v>
      </c>
      <c r="H139" s="37">
        <v>494</v>
      </c>
      <c r="I139" s="38">
        <v>100</v>
      </c>
      <c r="J139" s="103">
        <f t="shared" si="4"/>
        <v>65.8</v>
      </c>
      <c r="K139" s="104"/>
      <c r="L139" s="104"/>
      <c r="M139" s="104"/>
      <c r="N139" s="104"/>
      <c r="O139" s="104"/>
      <c r="P139" s="104"/>
      <c r="Q139" s="104"/>
      <c r="R139" s="104"/>
      <c r="S139" s="104"/>
      <c r="T139" s="106"/>
      <c r="U139" s="106"/>
      <c r="V139" s="106"/>
      <c r="W139" s="106"/>
      <c r="X139" s="104"/>
      <c r="Y139" s="104"/>
      <c r="Z139" s="104"/>
      <c r="AA139" s="104">
        <f>174.1-108.3</f>
        <v>65.8</v>
      </c>
      <c r="AB139" s="106"/>
      <c r="AC139" s="106"/>
      <c r="AD139" s="105"/>
      <c r="AE139" s="42"/>
    </row>
    <row r="140" spans="1:31" ht="20.25" x14ac:dyDescent="0.3">
      <c r="A140" s="15">
        <v>121</v>
      </c>
      <c r="B140" s="35" t="s">
        <v>171</v>
      </c>
      <c r="C140" s="36"/>
      <c r="D140" s="36">
        <v>307.5</v>
      </c>
      <c r="E140" s="36">
        <v>150</v>
      </c>
      <c r="F140" s="37">
        <v>350</v>
      </c>
      <c r="G140" s="37">
        <v>0</v>
      </c>
      <c r="H140" s="37"/>
      <c r="I140" s="38">
        <v>479</v>
      </c>
      <c r="J140" s="103">
        <f t="shared" si="4"/>
        <v>376</v>
      </c>
      <c r="K140" s="104"/>
      <c r="L140" s="104"/>
      <c r="M140" s="104"/>
      <c r="N140" s="104"/>
      <c r="O140" s="104"/>
      <c r="P140" s="104">
        <v>340</v>
      </c>
      <c r="Q140" s="104"/>
      <c r="R140" s="104"/>
      <c r="S140" s="104"/>
      <c r="T140" s="106"/>
      <c r="U140" s="106"/>
      <c r="V140" s="106"/>
      <c r="W140" s="106"/>
      <c r="X140" s="104"/>
      <c r="Y140" s="104"/>
      <c r="Z140" s="104"/>
      <c r="AA140" s="104"/>
      <c r="AB140" s="106">
        <f>36</f>
        <v>36</v>
      </c>
      <c r="AC140" s="106"/>
      <c r="AD140" s="105"/>
      <c r="AE140" s="42"/>
    </row>
    <row r="141" spans="1:31" ht="20.25" x14ac:dyDescent="0.3">
      <c r="A141" s="15">
        <v>122</v>
      </c>
      <c r="B141" s="35" t="s">
        <v>172</v>
      </c>
      <c r="C141" s="36"/>
      <c r="D141" s="36"/>
      <c r="E141" s="36"/>
      <c r="F141" s="37">
        <v>453</v>
      </c>
      <c r="G141" s="37">
        <v>0</v>
      </c>
      <c r="H141" s="37"/>
      <c r="I141" s="38">
        <v>211</v>
      </c>
      <c r="J141" s="103">
        <f t="shared" si="4"/>
        <v>55.5</v>
      </c>
      <c r="K141" s="104"/>
      <c r="L141" s="104"/>
      <c r="M141" s="104"/>
      <c r="N141" s="104"/>
      <c r="O141" s="104"/>
      <c r="P141" s="104"/>
      <c r="Q141" s="104"/>
      <c r="R141" s="104"/>
      <c r="S141" s="104"/>
      <c r="T141" s="106"/>
      <c r="U141" s="106"/>
      <c r="V141" s="106"/>
      <c r="W141" s="106"/>
      <c r="X141" s="104"/>
      <c r="Y141" s="104"/>
      <c r="Z141" s="104"/>
      <c r="AA141" s="104"/>
      <c r="AB141" s="106">
        <f>(10+14+10+44+10+17.5)-50</f>
        <v>55.5</v>
      </c>
      <c r="AC141" s="106"/>
      <c r="AD141" s="105"/>
      <c r="AE141" s="42"/>
    </row>
    <row r="142" spans="1:31" ht="47.25" x14ac:dyDescent="0.3">
      <c r="A142" s="15">
        <v>123</v>
      </c>
      <c r="B142" s="109" t="s">
        <v>173</v>
      </c>
      <c r="C142" s="36"/>
      <c r="D142" s="36"/>
      <c r="E142" s="36">
        <v>2500</v>
      </c>
      <c r="F142" s="37"/>
      <c r="G142" s="37">
        <v>0</v>
      </c>
      <c r="H142" s="37"/>
      <c r="I142" s="38">
        <v>60</v>
      </c>
      <c r="J142" s="103">
        <f t="shared" si="4"/>
        <v>124.10000000000002</v>
      </c>
      <c r="K142" s="104"/>
      <c r="L142" s="104"/>
      <c r="M142" s="104"/>
      <c r="N142" s="104"/>
      <c r="O142" s="104"/>
      <c r="P142" s="104"/>
      <c r="Q142" s="104"/>
      <c r="R142" s="104"/>
      <c r="S142" s="104"/>
      <c r="T142" s="106"/>
      <c r="U142" s="106"/>
      <c r="V142" s="106"/>
      <c r="W142" s="106"/>
      <c r="X142" s="104"/>
      <c r="Y142" s="104"/>
      <c r="Z142" s="104">
        <f>(80.5+130+43.3+48.8+24.8)-(130+43.3)-50</f>
        <v>104.10000000000002</v>
      </c>
      <c r="AA142" s="104"/>
      <c r="AB142" s="106"/>
      <c r="AC142" s="106"/>
      <c r="AD142" s="105">
        <f>30-10</f>
        <v>20</v>
      </c>
      <c r="AE142" s="42"/>
    </row>
    <row r="143" spans="1:31" ht="31.5" x14ac:dyDescent="0.3">
      <c r="A143" s="15">
        <v>124</v>
      </c>
      <c r="B143" s="109" t="s">
        <v>174</v>
      </c>
      <c r="C143" s="36"/>
      <c r="D143" s="36"/>
      <c r="E143" s="36"/>
      <c r="F143" s="37"/>
      <c r="G143" s="37"/>
      <c r="H143" s="37"/>
      <c r="I143" s="38">
        <v>200</v>
      </c>
      <c r="J143" s="103">
        <f t="shared" si="4"/>
        <v>15</v>
      </c>
      <c r="K143" s="104"/>
      <c r="L143" s="104"/>
      <c r="M143" s="104"/>
      <c r="N143" s="104"/>
      <c r="O143" s="104"/>
      <c r="P143" s="104"/>
      <c r="Q143" s="104"/>
      <c r="R143" s="104"/>
      <c r="S143" s="104"/>
      <c r="T143" s="106"/>
      <c r="U143" s="106"/>
      <c r="V143" s="106"/>
      <c r="W143" s="106"/>
      <c r="X143" s="104"/>
      <c r="Y143" s="104"/>
      <c r="Z143" s="104"/>
      <c r="AA143" s="104"/>
      <c r="AB143" s="106"/>
      <c r="AC143" s="106"/>
      <c r="AD143" s="105">
        <v>15</v>
      </c>
      <c r="AE143" s="42"/>
    </row>
    <row r="144" spans="1:31" ht="31.5" x14ac:dyDescent="0.3">
      <c r="A144" s="15">
        <v>125</v>
      </c>
      <c r="B144" s="109" t="s">
        <v>175</v>
      </c>
      <c r="C144" s="36"/>
      <c r="D144" s="36"/>
      <c r="E144" s="36"/>
      <c r="F144" s="37"/>
      <c r="G144" s="37">
        <v>0</v>
      </c>
      <c r="H144" s="37"/>
      <c r="I144" s="38">
        <v>0</v>
      </c>
      <c r="J144" s="103">
        <f t="shared" si="4"/>
        <v>93</v>
      </c>
      <c r="K144" s="104"/>
      <c r="L144" s="104"/>
      <c r="M144" s="104"/>
      <c r="N144" s="104"/>
      <c r="O144" s="104"/>
      <c r="P144" s="104"/>
      <c r="Q144" s="104"/>
      <c r="R144" s="104"/>
      <c r="S144" s="104"/>
      <c r="T144" s="106"/>
      <c r="U144" s="106"/>
      <c r="V144" s="106"/>
      <c r="W144" s="106"/>
      <c r="X144" s="104"/>
      <c r="Y144" s="104"/>
      <c r="Z144" s="104">
        <f>(18+90+20+30)-90</f>
        <v>68</v>
      </c>
      <c r="AA144" s="104"/>
      <c r="AB144" s="106"/>
      <c r="AC144" s="106"/>
      <c r="AD144" s="105">
        <f>(30+20)-25</f>
        <v>25</v>
      </c>
      <c r="AE144" s="42"/>
    </row>
    <row r="145" spans="1:32" ht="39" hidden="1" customHeight="1" x14ac:dyDescent="0.3">
      <c r="A145" s="15">
        <v>126</v>
      </c>
      <c r="B145" s="109" t="s">
        <v>176</v>
      </c>
      <c r="C145" s="36"/>
      <c r="D145" s="36">
        <v>70</v>
      </c>
      <c r="E145" s="36"/>
      <c r="F145" s="37"/>
      <c r="G145" s="37">
        <v>0</v>
      </c>
      <c r="H145" s="37"/>
      <c r="I145" s="38"/>
      <c r="J145" s="103">
        <f t="shared" si="4"/>
        <v>0</v>
      </c>
      <c r="K145" s="104"/>
      <c r="L145" s="104"/>
      <c r="M145" s="104"/>
      <c r="N145" s="104"/>
      <c r="O145" s="104"/>
      <c r="P145" s="104"/>
      <c r="Q145" s="104"/>
      <c r="R145" s="104"/>
      <c r="S145" s="104"/>
      <c r="T145" s="106"/>
      <c r="U145" s="106"/>
      <c r="V145" s="106"/>
      <c r="W145" s="106"/>
      <c r="X145" s="104"/>
      <c r="Y145" s="104"/>
      <c r="Z145" s="104"/>
      <c r="AA145" s="104"/>
      <c r="AB145" s="106"/>
      <c r="AC145" s="106"/>
      <c r="AD145" s="105"/>
      <c r="AE145" s="42"/>
    </row>
    <row r="146" spans="1:32" ht="39" hidden="1" customHeight="1" x14ac:dyDescent="0.3">
      <c r="A146" s="15">
        <v>127</v>
      </c>
      <c r="B146" s="109" t="s">
        <v>177</v>
      </c>
      <c r="C146" s="36"/>
      <c r="D146" s="36"/>
      <c r="E146" s="36"/>
      <c r="F146" s="37"/>
      <c r="G146" s="37"/>
      <c r="H146" s="37"/>
      <c r="I146" s="38"/>
      <c r="J146" s="103">
        <f t="shared" si="4"/>
        <v>0</v>
      </c>
      <c r="K146" s="104"/>
      <c r="L146" s="104"/>
      <c r="M146" s="104"/>
      <c r="N146" s="104"/>
      <c r="O146" s="104"/>
      <c r="P146" s="104"/>
      <c r="Q146" s="104"/>
      <c r="R146" s="104"/>
      <c r="S146" s="104"/>
      <c r="T146" s="106"/>
      <c r="U146" s="106"/>
      <c r="V146" s="106"/>
      <c r="W146" s="106"/>
      <c r="X146" s="104"/>
      <c r="Y146" s="104"/>
      <c r="Z146" s="104"/>
      <c r="AA146" s="104"/>
      <c r="AB146" s="106"/>
      <c r="AC146" s="106"/>
      <c r="AD146" s="105"/>
      <c r="AE146" s="42"/>
    </row>
    <row r="147" spans="1:32" ht="57" customHeight="1" x14ac:dyDescent="0.3">
      <c r="A147" s="15">
        <v>128</v>
      </c>
      <c r="B147" s="109" t="s">
        <v>178</v>
      </c>
      <c r="C147" s="36"/>
      <c r="D147" s="36"/>
      <c r="E147" s="36"/>
      <c r="F147" s="37"/>
      <c r="G147" s="37"/>
      <c r="H147" s="37"/>
      <c r="I147" s="38"/>
      <c r="J147" s="103">
        <f t="shared" si="4"/>
        <v>17</v>
      </c>
      <c r="K147" s="104"/>
      <c r="L147" s="104"/>
      <c r="M147" s="104"/>
      <c r="N147" s="104"/>
      <c r="O147" s="104"/>
      <c r="P147" s="104"/>
      <c r="Q147" s="104"/>
      <c r="R147" s="104"/>
      <c r="S147" s="104"/>
      <c r="T147" s="106"/>
      <c r="U147" s="106">
        <v>17</v>
      </c>
      <c r="V147" s="106"/>
      <c r="W147" s="106"/>
      <c r="X147" s="104"/>
      <c r="Y147" s="104"/>
      <c r="Z147" s="104"/>
      <c r="AA147" s="104"/>
      <c r="AB147" s="106"/>
      <c r="AC147" s="106"/>
      <c r="AD147" s="105"/>
      <c r="AE147" s="42"/>
    </row>
    <row r="148" spans="1:32" ht="42" customHeight="1" x14ac:dyDescent="0.3">
      <c r="A148" s="15">
        <v>129</v>
      </c>
      <c r="B148" s="109" t="s">
        <v>179</v>
      </c>
      <c r="C148" s="36"/>
      <c r="D148" s="36"/>
      <c r="E148" s="36"/>
      <c r="F148" s="37"/>
      <c r="G148" s="37"/>
      <c r="H148" s="37"/>
      <c r="I148" s="38"/>
      <c r="J148" s="103">
        <f t="shared" si="4"/>
        <v>250</v>
      </c>
      <c r="K148" s="104"/>
      <c r="L148" s="104"/>
      <c r="M148" s="104"/>
      <c r="N148" s="104"/>
      <c r="O148" s="104"/>
      <c r="P148" s="104"/>
      <c r="Q148" s="104"/>
      <c r="R148" s="104"/>
      <c r="S148" s="104"/>
      <c r="T148" s="106"/>
      <c r="U148" s="106"/>
      <c r="V148" s="106">
        <v>250</v>
      </c>
      <c r="W148" s="106"/>
      <c r="X148" s="104"/>
      <c r="Y148" s="104"/>
      <c r="Z148" s="104"/>
      <c r="AA148" s="104"/>
      <c r="AB148" s="106"/>
      <c r="AC148" s="106"/>
      <c r="AD148" s="105"/>
      <c r="AE148" s="42"/>
    </row>
    <row r="149" spans="1:32" ht="39" customHeight="1" x14ac:dyDescent="0.3">
      <c r="A149" s="15">
        <v>130</v>
      </c>
      <c r="B149" s="109" t="s">
        <v>180</v>
      </c>
      <c r="C149" s="36"/>
      <c r="D149" s="36"/>
      <c r="E149" s="36"/>
      <c r="F149" s="37"/>
      <c r="G149" s="37"/>
      <c r="H149" s="37"/>
      <c r="I149" s="38"/>
      <c r="J149" s="103">
        <f t="shared" si="4"/>
        <v>49.2</v>
      </c>
      <c r="K149" s="104"/>
      <c r="L149" s="104"/>
      <c r="M149" s="104"/>
      <c r="N149" s="104"/>
      <c r="O149" s="104"/>
      <c r="P149" s="104"/>
      <c r="Q149" s="104"/>
      <c r="R149" s="104"/>
      <c r="S149" s="104"/>
      <c r="T149" s="106"/>
      <c r="U149" s="106"/>
      <c r="V149" s="106">
        <v>49.2</v>
      </c>
      <c r="W149" s="106"/>
      <c r="X149" s="104"/>
      <c r="Y149" s="104"/>
      <c r="Z149" s="104"/>
      <c r="AA149" s="104"/>
      <c r="AB149" s="106"/>
      <c r="AC149" s="106"/>
      <c r="AD149" s="105"/>
      <c r="AE149" s="42"/>
    </row>
    <row r="150" spans="1:32" ht="47.25" x14ac:dyDescent="0.3">
      <c r="A150" s="15">
        <v>131</v>
      </c>
      <c r="B150" s="109" t="s">
        <v>181</v>
      </c>
      <c r="C150" s="36"/>
      <c r="D150" s="36">
        <v>1156</v>
      </c>
      <c r="E150" s="36">
        <v>1200</v>
      </c>
      <c r="F150" s="37">
        <v>1300</v>
      </c>
      <c r="G150" s="37">
        <v>200</v>
      </c>
      <c r="H150" s="37">
        <v>1748.3</v>
      </c>
      <c r="I150" s="38">
        <v>600</v>
      </c>
      <c r="J150" s="103">
        <f t="shared" si="4"/>
        <v>450</v>
      </c>
      <c r="K150" s="104"/>
      <c r="L150" s="104"/>
      <c r="M150" s="104"/>
      <c r="N150" s="104"/>
      <c r="O150" s="104"/>
      <c r="P150" s="104"/>
      <c r="Q150" s="104"/>
      <c r="R150" s="104">
        <f>(100+500)-150</f>
        <v>450</v>
      </c>
      <c r="S150" s="104"/>
      <c r="T150" s="106"/>
      <c r="U150" s="106"/>
      <c r="V150" s="106"/>
      <c r="W150" s="106"/>
      <c r="X150" s="104"/>
      <c r="Y150" s="104"/>
      <c r="Z150" s="104"/>
      <c r="AA150" s="104"/>
      <c r="AB150" s="106"/>
      <c r="AC150" s="106"/>
      <c r="AD150" s="105"/>
      <c r="AE150" s="42"/>
    </row>
    <row r="151" spans="1:32" ht="57" customHeight="1" x14ac:dyDescent="0.3">
      <c r="A151" s="15">
        <v>132</v>
      </c>
      <c r="B151" s="132" t="s">
        <v>182</v>
      </c>
      <c r="C151" s="133"/>
      <c r="D151" s="134">
        <v>20</v>
      </c>
      <c r="E151" s="134">
        <v>30</v>
      </c>
      <c r="F151" s="37">
        <v>50</v>
      </c>
      <c r="G151" s="37">
        <v>15</v>
      </c>
      <c r="H151" s="37">
        <v>15</v>
      </c>
      <c r="I151" s="38">
        <v>43</v>
      </c>
      <c r="J151" s="103">
        <f t="shared" si="4"/>
        <v>43</v>
      </c>
      <c r="K151" s="135"/>
      <c r="L151" s="135"/>
      <c r="M151" s="135"/>
      <c r="N151" s="135"/>
      <c r="O151" s="135"/>
      <c r="P151" s="135"/>
      <c r="Q151" s="135"/>
      <c r="R151" s="135">
        <v>43</v>
      </c>
      <c r="S151" s="135"/>
      <c r="T151" s="136"/>
      <c r="U151" s="106"/>
      <c r="V151" s="136"/>
      <c r="W151" s="136"/>
      <c r="X151" s="135"/>
      <c r="Y151" s="135"/>
      <c r="Z151" s="135"/>
      <c r="AA151" s="135"/>
      <c r="AB151" s="136"/>
      <c r="AC151" s="136"/>
      <c r="AD151" s="105"/>
      <c r="AE151" s="42"/>
    </row>
    <row r="152" spans="1:32" ht="78.75" x14ac:dyDescent="0.3">
      <c r="A152" s="15">
        <v>133</v>
      </c>
      <c r="B152" s="137" t="s">
        <v>183</v>
      </c>
      <c r="C152" s="133"/>
      <c r="D152" s="134">
        <v>670</v>
      </c>
      <c r="E152" s="134">
        <v>200</v>
      </c>
      <c r="F152" s="37">
        <v>300</v>
      </c>
      <c r="G152" s="37">
        <v>40</v>
      </c>
      <c r="H152" s="37">
        <v>490</v>
      </c>
      <c r="I152" s="38">
        <v>516.70000000000005</v>
      </c>
      <c r="J152" s="103">
        <f t="shared" si="4"/>
        <v>476.70000000000005</v>
      </c>
      <c r="K152" s="135"/>
      <c r="L152" s="135"/>
      <c r="M152" s="135"/>
      <c r="N152" s="135"/>
      <c r="O152" s="135"/>
      <c r="P152" s="135"/>
      <c r="Q152" s="135"/>
      <c r="R152" s="135">
        <f>(476.7+260)-260</f>
        <v>476.70000000000005</v>
      </c>
      <c r="S152" s="135"/>
      <c r="T152" s="136"/>
      <c r="U152" s="106"/>
      <c r="V152" s="136"/>
      <c r="W152" s="136"/>
      <c r="X152" s="135"/>
      <c r="Y152" s="135"/>
      <c r="Z152" s="135"/>
      <c r="AA152" s="135"/>
      <c r="AB152" s="136"/>
      <c r="AC152" s="136"/>
      <c r="AD152" s="105"/>
      <c r="AE152" s="42"/>
    </row>
    <row r="153" spans="1:32" ht="31.5" x14ac:dyDescent="0.3">
      <c r="A153" s="15">
        <v>134</v>
      </c>
      <c r="B153" s="137" t="s">
        <v>184</v>
      </c>
      <c r="C153" s="133"/>
      <c r="D153" s="134"/>
      <c r="E153" s="134"/>
      <c r="F153" s="37"/>
      <c r="G153" s="37"/>
      <c r="H153" s="37"/>
      <c r="I153" s="38">
        <v>260</v>
      </c>
      <c r="J153" s="103">
        <f t="shared" si="4"/>
        <v>58.69</v>
      </c>
      <c r="K153" s="135"/>
      <c r="L153" s="135"/>
      <c r="M153" s="135"/>
      <c r="N153" s="135"/>
      <c r="O153" s="135"/>
      <c r="P153" s="135"/>
      <c r="Q153" s="135"/>
      <c r="R153" s="135">
        <f>57.15+1.54</f>
        <v>58.69</v>
      </c>
      <c r="S153" s="135"/>
      <c r="T153" s="136"/>
      <c r="U153" s="106"/>
      <c r="V153" s="136"/>
      <c r="W153" s="136"/>
      <c r="X153" s="135"/>
      <c r="Y153" s="135"/>
      <c r="Z153" s="135"/>
      <c r="AA153" s="135"/>
      <c r="AB153" s="136"/>
      <c r="AC153" s="136"/>
      <c r="AD153" s="105"/>
      <c r="AE153" s="42"/>
    </row>
    <row r="154" spans="1:32" ht="37.5" customHeight="1" x14ac:dyDescent="0.3">
      <c r="A154" s="15">
        <v>135</v>
      </c>
      <c r="B154" s="138" t="s">
        <v>185</v>
      </c>
      <c r="C154" s="133"/>
      <c r="D154" s="134"/>
      <c r="E154" s="134"/>
      <c r="F154" s="37">
        <v>36</v>
      </c>
      <c r="G154" s="37">
        <v>0</v>
      </c>
      <c r="H154" s="37">
        <v>15</v>
      </c>
      <c r="I154" s="38">
        <v>259.5</v>
      </c>
      <c r="J154" s="103">
        <f t="shared" si="4"/>
        <v>354.2</v>
      </c>
      <c r="K154" s="135"/>
      <c r="L154" s="135"/>
      <c r="M154" s="135"/>
      <c r="N154" s="135"/>
      <c r="O154" s="135"/>
      <c r="P154" s="135"/>
      <c r="Q154" s="135"/>
      <c r="R154" s="135"/>
      <c r="S154" s="135"/>
      <c r="T154" s="136"/>
      <c r="U154" s="106"/>
      <c r="V154" s="136"/>
      <c r="W154" s="136"/>
      <c r="X154" s="135"/>
      <c r="Y154" s="135">
        <f>136.6+217.6</f>
        <v>354.2</v>
      </c>
      <c r="Z154" s="135"/>
      <c r="AA154" s="135"/>
      <c r="AB154" s="136"/>
      <c r="AC154" s="136"/>
      <c r="AD154" s="105"/>
      <c r="AE154" s="42"/>
    </row>
    <row r="155" spans="1:32" ht="63.75" thickBot="1" x14ac:dyDescent="0.35">
      <c r="A155" s="15">
        <v>136</v>
      </c>
      <c r="B155" s="139" t="s">
        <v>186</v>
      </c>
      <c r="C155" s="133"/>
      <c r="D155" s="134"/>
      <c r="E155" s="134"/>
      <c r="F155" s="37"/>
      <c r="G155" s="37"/>
      <c r="H155" s="37"/>
      <c r="I155" s="38">
        <v>107.35</v>
      </c>
      <c r="J155" s="103">
        <f t="shared" si="4"/>
        <v>195.56</v>
      </c>
      <c r="K155" s="135"/>
      <c r="L155" s="135"/>
      <c r="M155" s="135"/>
      <c r="N155" s="135"/>
      <c r="O155" s="135"/>
      <c r="P155" s="135"/>
      <c r="Q155" s="135"/>
      <c r="R155" s="135">
        <f>(101.56+144)-50</f>
        <v>195.56</v>
      </c>
      <c r="S155" s="135"/>
      <c r="T155" s="136"/>
      <c r="U155" s="106"/>
      <c r="V155" s="136"/>
      <c r="W155" s="136"/>
      <c r="X155" s="135"/>
      <c r="Y155" s="135"/>
      <c r="Z155" s="135"/>
      <c r="AA155" s="135"/>
      <c r="AB155" s="136"/>
      <c r="AC155" s="136"/>
      <c r="AD155" s="140"/>
      <c r="AE155" s="42"/>
    </row>
    <row r="156" spans="1:32" ht="21" thickBot="1" x14ac:dyDescent="0.35">
      <c r="A156" s="141">
        <v>137</v>
      </c>
      <c r="B156" s="142" t="s">
        <v>187</v>
      </c>
      <c r="C156" s="143"/>
      <c r="D156" s="116">
        <f>SUM(D96:D154)</f>
        <v>10634.789999999999</v>
      </c>
      <c r="E156" s="116">
        <f>SUM(E96:E154)</f>
        <v>12664.41</v>
      </c>
      <c r="F156" s="116">
        <f>SUM(F98:F154)</f>
        <v>11981.19</v>
      </c>
      <c r="G156" s="116">
        <f>SUM(G98:G154)</f>
        <v>1132.5</v>
      </c>
      <c r="H156" s="116">
        <f>SUM(H98:H154)</f>
        <v>16095.82</v>
      </c>
      <c r="I156" s="144"/>
      <c r="J156" s="145">
        <f>SUM(J96:J155)</f>
        <v>19867.713</v>
      </c>
      <c r="K156" s="146">
        <f>SUM(K96:K155)</f>
        <v>751.35</v>
      </c>
      <c r="L156" s="146">
        <f>SUM(L96:L155)</f>
        <v>1150.1489999999999</v>
      </c>
      <c r="M156" s="146">
        <f>SUM(M96:M155)</f>
        <v>5296.1</v>
      </c>
      <c r="N156" s="146">
        <f>SUM(N96:N155)</f>
        <v>0</v>
      </c>
      <c r="O156" s="146">
        <f>SUM(O96:O155)</f>
        <v>103.10000000000002</v>
      </c>
      <c r="P156" s="146">
        <f>SUM(P96:P155)</f>
        <v>1509.1999999999998</v>
      </c>
      <c r="Q156" s="146">
        <f>SUM(Q96:Q155)</f>
        <v>243.35</v>
      </c>
      <c r="R156" s="146">
        <f>SUM(R96:R155)</f>
        <v>2735.25</v>
      </c>
      <c r="S156" s="146">
        <f>SUM(S96:S155)</f>
        <v>0</v>
      </c>
      <c r="T156" s="146">
        <f>SUM(T96:T155)</f>
        <v>1436.84</v>
      </c>
      <c r="U156" s="146">
        <f>SUM(U96:U155)</f>
        <v>516.6</v>
      </c>
      <c r="V156" s="146">
        <f>SUM(V96:V155)</f>
        <v>1022.21</v>
      </c>
      <c r="W156" s="146">
        <f>SUM(W96:W155)</f>
        <v>88</v>
      </c>
      <c r="X156" s="146">
        <f>SUM(X96:X155)</f>
        <v>533.9</v>
      </c>
      <c r="Y156" s="146">
        <f>SUM(Y96:Y155)</f>
        <v>455.2</v>
      </c>
      <c r="Z156" s="146">
        <f>SUM(Z96:Z155)</f>
        <v>524.40000000000009</v>
      </c>
      <c r="AA156" s="146">
        <f>SUM(AA96:AA155)</f>
        <v>2581.2039999999997</v>
      </c>
      <c r="AB156" s="146">
        <f>SUM(AB96:AB155)</f>
        <v>361.9</v>
      </c>
      <c r="AC156" s="146">
        <f>SUM(AC96:AC155)</f>
        <v>89.2</v>
      </c>
      <c r="AD156" s="147">
        <f>SUM(AD96:AD155)</f>
        <v>469.76</v>
      </c>
      <c r="AE156" s="42"/>
      <c r="AF156" s="6"/>
    </row>
    <row r="157" spans="1:32" ht="21" thickBot="1" x14ac:dyDescent="0.35">
      <c r="A157" s="148">
        <v>140</v>
      </c>
      <c r="B157" s="149" t="s">
        <v>188</v>
      </c>
      <c r="C157" s="150"/>
      <c r="D157" s="151" t="e">
        <f>SUM(D8:D155)-#REF!-D95</f>
        <v>#REF!</v>
      </c>
      <c r="E157" s="116" t="e">
        <f>SUM(E8:E155)-#REF!-E95</f>
        <v>#REF!</v>
      </c>
      <c r="F157" s="116">
        <f>F156+F95</f>
        <v>159636.21</v>
      </c>
      <c r="G157" s="116">
        <v>228234.03</v>
      </c>
      <c r="H157" s="116">
        <f>H156+H95</f>
        <v>482629.97999999992</v>
      </c>
      <c r="I157" s="116"/>
      <c r="J157" s="145">
        <f>J156+J95</f>
        <v>328988.40105000004</v>
      </c>
      <c r="K157" s="146">
        <f>K156+K95</f>
        <v>8010.7907999999998</v>
      </c>
      <c r="L157" s="146">
        <f>L156+L95</f>
        <v>30281.972600000012</v>
      </c>
      <c r="M157" s="146">
        <f>M156+M95</f>
        <v>102433.44640000003</v>
      </c>
      <c r="N157" s="146">
        <f>N156+N95</f>
        <v>3901.1759999999999</v>
      </c>
      <c r="O157" s="146">
        <f>O156+O95</f>
        <v>4413.439676</v>
      </c>
      <c r="P157" s="146">
        <f>P156+P95</f>
        <v>19544.966399999998</v>
      </c>
      <c r="Q157" s="146">
        <f>Q156+Q95</f>
        <v>10643.508600000001</v>
      </c>
      <c r="R157" s="146">
        <f>R156+R95</f>
        <v>52120.853574000001</v>
      </c>
      <c r="S157" s="146">
        <f>S156+S95</f>
        <v>2096.9948000000004</v>
      </c>
      <c r="T157" s="146">
        <f>T156+T95</f>
        <v>9280.6424000000006</v>
      </c>
      <c r="U157" s="146">
        <f>U156+U95</f>
        <v>4339.6469999999999</v>
      </c>
      <c r="V157" s="146">
        <f>V156+V95</f>
        <v>13995.801799999997</v>
      </c>
      <c r="W157" s="146">
        <f>W156+W95</f>
        <v>1822.5056</v>
      </c>
      <c r="X157" s="146">
        <f>X156+X95</f>
        <v>6625.2662</v>
      </c>
      <c r="Y157" s="146">
        <f>Y156+Y95</f>
        <v>536.70000000000005</v>
      </c>
      <c r="Z157" s="146">
        <f>Z156+Z95</f>
        <v>28364.675799999994</v>
      </c>
      <c r="AA157" s="146">
        <f>AA156+AA95</f>
        <v>18401.013400000007</v>
      </c>
      <c r="AB157" s="146">
        <f>AB156+AB95</f>
        <v>361.9</v>
      </c>
      <c r="AC157" s="146">
        <f>AC156+AC95</f>
        <v>89.2</v>
      </c>
      <c r="AD157" s="147">
        <f>AD156+AD95</f>
        <v>11723.9</v>
      </c>
      <c r="AE157" s="42"/>
    </row>
    <row r="158" spans="1:32" ht="31.5" hidden="1" x14ac:dyDescent="0.25">
      <c r="A158" s="152">
        <v>141</v>
      </c>
      <c r="B158" s="153" t="s">
        <v>189</v>
      </c>
      <c r="C158" s="153"/>
      <c r="D158" s="23"/>
      <c r="E158" s="121"/>
      <c r="F158" s="121"/>
      <c r="G158" s="121"/>
      <c r="H158" s="121"/>
      <c r="I158" s="121"/>
      <c r="J158" s="121" t="e">
        <f>#REF!-J157</f>
        <v>#REF!</v>
      </c>
      <c r="K158" s="154"/>
      <c r="L158" s="154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1:32" ht="15.75" hidden="1" x14ac:dyDescent="0.25">
      <c r="A159" s="152">
        <v>142</v>
      </c>
      <c r="B159" s="18" t="s">
        <v>190</v>
      </c>
      <c r="C159" s="18"/>
      <c r="D159" s="155"/>
      <c r="E159" s="156"/>
      <c r="F159" s="156"/>
      <c r="G159" s="156"/>
      <c r="H159" s="156"/>
      <c r="I159" s="156"/>
      <c r="J159" s="156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42"/>
    </row>
    <row r="160" spans="1:32" s="3" customFormat="1" x14ac:dyDescent="0.3">
      <c r="A160" s="1"/>
      <c r="B160" s="2"/>
      <c r="C160" s="159"/>
      <c r="D160" s="159"/>
      <c r="E160" s="159"/>
      <c r="F160" s="160"/>
      <c r="G160" s="160"/>
      <c r="H160" s="160"/>
      <c r="I160" s="160"/>
      <c r="J160" s="158"/>
    </row>
    <row r="161" spans="1:16" s="3" customFormat="1" x14ac:dyDescent="0.3">
      <c r="A161" s="1"/>
      <c r="B161" s="161"/>
      <c r="C161" s="162"/>
      <c r="D161" s="162"/>
      <c r="E161" s="162"/>
      <c r="F161" s="42"/>
      <c r="G161" s="42"/>
      <c r="H161" s="42"/>
      <c r="I161" s="42"/>
      <c r="J161" s="157"/>
    </row>
    <row r="163" spans="1:16" s="3" customFormat="1" x14ac:dyDescent="0.3">
      <c r="A163" s="1"/>
      <c r="B163" s="1"/>
      <c r="C163" s="1"/>
      <c r="D163" s="1"/>
      <c r="E163" s="1"/>
      <c r="F163" s="1"/>
      <c r="G163" s="1"/>
      <c r="H163" s="1"/>
      <c r="I163" s="1"/>
      <c r="P163" s="158"/>
    </row>
  </sheetData>
  <mergeCells count="5">
    <mergeCell ref="Z1:AD1"/>
    <mergeCell ref="B3:AC3"/>
    <mergeCell ref="B6:F6"/>
    <mergeCell ref="B156:C156"/>
    <mergeCell ref="B157:C157"/>
  </mergeCells>
  <pageMargins left="0.19685039370078741" right="0" top="0.39370078740157483" bottom="0" header="0" footer="0"/>
  <pageSetup paperSize="9" scale="42" fitToHeight="0" orientation="landscape" r:id="rId1"/>
  <rowBreaks count="1" manualBreakCount="1"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 НА 2 ЧТЕНИЕ</vt:lpstr>
      <vt:lpstr>'РАСПРЕД НА 2 ЧТЕНИЕ'!Заголовки_для_печати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MainAdmin</cp:lastModifiedBy>
  <dcterms:created xsi:type="dcterms:W3CDTF">2021-12-15T05:03:14Z</dcterms:created>
  <dcterms:modified xsi:type="dcterms:W3CDTF">2021-12-15T05:04:29Z</dcterms:modified>
</cp:coreProperties>
</file>